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12.xml" ContentType="application/vnd.openxmlformats-officedocument.drawing+xml"/>
  <Override PartName="/xl/comments3.xml" ContentType="application/vnd.openxmlformats-officedocument.spreadsheetml.comments+xml"/>
  <Override PartName="/xl/drawings/drawing13.xml" ContentType="application/vnd.openxmlformats-officedocument.drawing+xml"/>
  <Override PartName="/xl/comments4.xml" ContentType="application/vnd.openxmlformats-officedocument.spreadsheetml.comments+xml"/>
  <Override PartName="/xl/drawings/drawing14.xml" ContentType="application/vnd.openxmlformats-officedocument.drawing+xml"/>
  <Override PartName="/xl/comments5.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6.xml" ContentType="application/vnd.openxmlformats-officedocument.spreadsheetml.comments+xml"/>
  <Override PartName="/xl/threadedComments/threadedComment3.xml" ContentType="application/vnd.ms-excel.threaded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9.xml" ContentType="application/vnd.openxmlformats-officedocument.drawing+xml"/>
  <Override PartName="/xl/comments7.xml" ContentType="application/vnd.openxmlformats-officedocument.spreadsheetml.comments+xml"/>
  <Override PartName="/xl/threadedComments/threadedComment4.xml" ContentType="application/vnd.ms-excel.threaded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https://myjm.sharepoint.com/teams/SustainabilityReporting/Shared Documents/General/Sustainability Performance Data/On website/"/>
    </mc:Choice>
  </mc:AlternateContent>
  <xr:revisionPtr revIDLastSave="84" documentId="8_{561ABD0A-8778-49A3-BB48-E548928E2EA2}" xr6:coauthVersionLast="47" xr6:coauthVersionMax="47" xr10:uidLastSave="{1155F490-3A87-45CC-A238-F5E0697C92DB}"/>
  <workbookProtection workbookAlgorithmName="SHA-512" workbookHashValue="b+ed3hSPofljSXVEaQh0bTxCMQOu1OyXQJPhr2T/Wv+avNZh6fLRX3ouck8MGADxEtRlYqG0wuYcG6ShSsDDLg==" workbookSaltValue="91rFqmWGou8e+RyLn4TcEg==" workbookSpinCount="100000" lockStructure="1"/>
  <bookViews>
    <workbookView xWindow="50280" yWindow="-120" windowWidth="21840" windowHeight="13140" tabRatio="798" xr2:uid="{4855C2C6-0FFE-4E15-9B27-A059FAE1C36B}"/>
  </bookViews>
  <sheets>
    <sheet name="Cover" sheetId="5" r:id="rId1"/>
    <sheet name="Home" sheetId="4" r:id="rId2"/>
    <sheet name="Contents" sheetId="11" r:id="rId3"/>
    <sheet name="Material Topics" sheetId="20" r:id="rId4"/>
    <sheet name="GRI Content index in accordance" sheetId="15" r:id="rId5"/>
    <sheet name="SASB Index" sheetId="13" r:id="rId6"/>
    <sheet name="TCFD Compliance Table" sheetId="12" r:id="rId7"/>
    <sheet name="PAI statement" sheetId="2" r:id="rId8"/>
    <sheet name="ERM CVS Audited metrics" sheetId="18" r:id="rId9"/>
    <sheet name="2030 targets" sheetId="19" r:id="rId10"/>
    <sheet name="Environment (pre-divest Data)" sheetId="3" state="hidden" r:id="rId11"/>
    <sheet name="Environment" sheetId="21" r:id="rId12"/>
    <sheet name="People" sheetId="23" r:id="rId13"/>
    <sheet name="Health and Safety" sheetId="6" r:id="rId14"/>
    <sheet name="Ethics and Compliance" sheetId="10" r:id="rId15"/>
    <sheet name="Community Investment" sheetId="8" r:id="rId16"/>
    <sheet name="Responsible Sourcing" sheetId="16" r:id="rId17"/>
    <sheet name="Environment (original)" sheetId="14" state="hidden" r:id="rId18"/>
    <sheet name="People (Internal)" sheetId="22" state="hidden" r:id="rId19"/>
  </sheets>
  <definedNames>
    <definedName name="_xlnm.Print_Area" localSheetId="9">'2030 targets'!$B$2:$J$32</definedName>
    <definedName name="_xlnm.Print_Area" localSheetId="15">'Community Investment'!$B$1:$I$22</definedName>
    <definedName name="_xlnm.Print_Area" localSheetId="2">Contents!$A$1:$E$17</definedName>
    <definedName name="_xlnm.Print_Area" localSheetId="0">Cover!$A$1:$P$34</definedName>
    <definedName name="_xlnm.Print_Area" localSheetId="11">Environment!$B$2:$I$157</definedName>
    <definedName name="_xlnm.Print_Area" localSheetId="8">'ERM CVS Audited metrics'!$A$2:$D$42</definedName>
    <definedName name="_xlnm.Print_Area" localSheetId="14">'Ethics and Compliance'!$B$1:$L$31</definedName>
    <definedName name="_xlnm.Print_Area" localSheetId="4">'GRI Content index in accordance'!$B$2:$I$205</definedName>
    <definedName name="_xlnm.Print_Area" localSheetId="13">'Health and Safety'!$B$2:$T$50</definedName>
    <definedName name="_xlnm.Print_Area" localSheetId="1">Home!$A$2:$K$23</definedName>
    <definedName name="_xlnm.Print_Area" localSheetId="3">'Material Topics'!$B$1:$Q$18</definedName>
    <definedName name="_xlnm.Print_Area" localSheetId="7">'PAI statement'!$B$2:$H$26</definedName>
    <definedName name="_xlnm.Print_Area" localSheetId="12">People!$B$1:$L$196</definedName>
    <definedName name="_xlnm.Print_Area" localSheetId="16">'Responsible Sourcing'!$B$1:$K$28</definedName>
    <definedName name="_xlnm.Print_Area" localSheetId="5">'SASB Index'!$A$1:$E$35</definedName>
    <definedName name="_xlnm.Print_Area" localSheetId="6">'TCFD Compliance Table'!$B$2:$D$21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14" i="21" l="1"/>
  <c r="E83" i="14"/>
  <c r="E91" i="14"/>
  <c r="C7" i="23"/>
  <c r="E7" i="23"/>
  <c r="D7" i="23"/>
  <c r="H88" i="21" l="1"/>
  <c r="I88" i="21"/>
  <c r="E87" i="21"/>
  <c r="F87" i="21"/>
  <c r="G87" i="21"/>
  <c r="D87" i="21"/>
  <c r="I87" i="21" s="1"/>
  <c r="C160" i="23"/>
  <c r="D160" i="23"/>
  <c r="H87" i="21" l="1"/>
  <c r="H15" i="21"/>
  <c r="I15" i="21"/>
  <c r="I10" i="21"/>
  <c r="E114" i="21" l="1"/>
  <c r="F114" i="21"/>
  <c r="G114" i="21"/>
  <c r="H113" i="21"/>
  <c r="I113" i="21"/>
  <c r="I112" i="21"/>
  <c r="H112" i="21"/>
  <c r="I111" i="21"/>
  <c r="H111" i="21"/>
  <c r="I110" i="21"/>
  <c r="H110" i="21"/>
  <c r="I109" i="21"/>
  <c r="H109" i="21"/>
  <c r="H74" i="21"/>
  <c r="I74" i="21"/>
  <c r="E73" i="21"/>
  <c r="E63" i="21" s="1"/>
  <c r="F73" i="21"/>
  <c r="F63" i="21" s="1"/>
  <c r="G73" i="21"/>
  <c r="G63" i="21" s="1"/>
  <c r="D73" i="21"/>
  <c r="D63" i="21" s="1"/>
  <c r="E50" i="21"/>
  <c r="F50" i="21"/>
  <c r="G50" i="21"/>
  <c r="D50" i="21"/>
  <c r="H66" i="21"/>
  <c r="I66" i="21"/>
  <c r="H67" i="21"/>
  <c r="I67" i="21"/>
  <c r="H68" i="21"/>
  <c r="I68" i="21"/>
  <c r="H69" i="21"/>
  <c r="I69" i="21"/>
  <c r="H70" i="21"/>
  <c r="I70" i="21"/>
  <c r="H71" i="21"/>
  <c r="I71" i="21"/>
  <c r="H72" i="21"/>
  <c r="I65" i="21"/>
  <c r="H65" i="21"/>
  <c r="J31" i="19"/>
  <c r="G167" i="23"/>
  <c r="G168" i="23"/>
  <c r="G169" i="23"/>
  <c r="G170" i="23"/>
  <c r="G171" i="23"/>
  <c r="G172" i="23"/>
  <c r="G173" i="23"/>
  <c r="F174" i="23"/>
  <c r="G174" i="23" s="1"/>
  <c r="F175" i="23"/>
  <c r="F176" i="23"/>
  <c r="F177" i="23"/>
  <c r="F178" i="23"/>
  <c r="F179" i="23"/>
  <c r="F180" i="23"/>
  <c r="F181" i="23"/>
  <c r="F182" i="23"/>
  <c r="F183" i="23"/>
  <c r="F184" i="23"/>
  <c r="F185" i="23"/>
  <c r="F186" i="23"/>
  <c r="G186" i="23" s="1"/>
  <c r="F187" i="23"/>
  <c r="F188" i="23"/>
  <c r="F189" i="23"/>
  <c r="F190" i="23"/>
  <c r="F191" i="23"/>
  <c r="F192" i="23"/>
  <c r="F193" i="23"/>
  <c r="F194" i="23"/>
  <c r="F195" i="23"/>
  <c r="F196" i="23"/>
  <c r="C130" i="23"/>
  <c r="D130" i="23"/>
  <c r="E130" i="23"/>
  <c r="E116" i="23"/>
  <c r="E117" i="23"/>
  <c r="E118" i="23"/>
  <c r="E119" i="23"/>
  <c r="E120" i="23"/>
  <c r="C121" i="23"/>
  <c r="D121" i="23"/>
  <c r="E107" i="23"/>
  <c r="H107" i="23"/>
  <c r="E109" i="23"/>
  <c r="H109" i="23"/>
  <c r="E110" i="23"/>
  <c r="H110" i="23"/>
  <c r="E111" i="23"/>
  <c r="H111" i="23"/>
  <c r="C112" i="23"/>
  <c r="D112" i="23"/>
  <c r="F112" i="23"/>
  <c r="G112" i="23"/>
  <c r="I112" i="23"/>
  <c r="J112" i="23"/>
  <c r="K112" i="23"/>
  <c r="D81" i="23"/>
  <c r="E81" i="23"/>
  <c r="F81" i="23"/>
  <c r="D88" i="23"/>
  <c r="E88" i="23"/>
  <c r="F88" i="23"/>
  <c r="D95" i="23"/>
  <c r="E95" i="23"/>
  <c r="F95" i="23"/>
  <c r="C103" i="23"/>
  <c r="D103" i="23"/>
  <c r="E103" i="23"/>
  <c r="E63" i="23"/>
  <c r="H63" i="23"/>
  <c r="K63" i="23"/>
  <c r="E64" i="23"/>
  <c r="H64" i="23"/>
  <c r="K64" i="23"/>
  <c r="E65" i="23"/>
  <c r="H65" i="23"/>
  <c r="K65" i="23"/>
  <c r="E66" i="23"/>
  <c r="C70" i="23"/>
  <c r="D70" i="23"/>
  <c r="E70" i="23"/>
  <c r="F70" i="23"/>
  <c r="I70" i="23"/>
  <c r="C71" i="23"/>
  <c r="D71" i="23"/>
  <c r="E71" i="23"/>
  <c r="F71" i="23"/>
  <c r="I71" i="23"/>
  <c r="E54" i="23"/>
  <c r="L54" i="23" s="1"/>
  <c r="H54" i="23"/>
  <c r="K54" i="23"/>
  <c r="E55" i="23"/>
  <c r="L55" i="23" s="1"/>
  <c r="H55" i="23"/>
  <c r="K55" i="23"/>
  <c r="E56" i="23"/>
  <c r="L56" i="23" s="1"/>
  <c r="E57" i="23"/>
  <c r="L57" i="23" s="1"/>
  <c r="H57" i="23"/>
  <c r="K57" i="23"/>
  <c r="C58" i="23"/>
  <c r="D58" i="23"/>
  <c r="F58" i="23"/>
  <c r="G58" i="23"/>
  <c r="I58" i="23"/>
  <c r="J58" i="23"/>
  <c r="E49" i="23"/>
  <c r="H49" i="23"/>
  <c r="E50" i="23"/>
  <c r="H50" i="23"/>
  <c r="E51" i="23"/>
  <c r="H51" i="23"/>
  <c r="E52" i="23"/>
  <c r="H52" i="23"/>
  <c r="C53" i="23"/>
  <c r="D53" i="23"/>
  <c r="F53" i="23"/>
  <c r="G53" i="23"/>
  <c r="I53" i="23"/>
  <c r="J53" i="23"/>
  <c r="E39" i="23"/>
  <c r="L39" i="23" s="1"/>
  <c r="H39" i="23"/>
  <c r="K39" i="23"/>
  <c r="E40" i="23"/>
  <c r="L40" i="23" s="1"/>
  <c r="H40" i="23"/>
  <c r="K40" i="23"/>
  <c r="E41" i="23"/>
  <c r="L41" i="23" s="1"/>
  <c r="H41" i="23"/>
  <c r="K41" i="23"/>
  <c r="E42" i="23"/>
  <c r="L42" i="23" s="1"/>
  <c r="H42" i="23"/>
  <c r="K42" i="23"/>
  <c r="E43" i="23"/>
  <c r="L43" i="23" s="1"/>
  <c r="M43" i="23" s="1"/>
  <c r="H43" i="23"/>
  <c r="K43" i="23"/>
  <c r="E44" i="23"/>
  <c r="L44" i="23" s="1"/>
  <c r="H44" i="23"/>
  <c r="K44" i="23"/>
  <c r="E18" i="23"/>
  <c r="L18" i="23" s="1"/>
  <c r="H18" i="23"/>
  <c r="K18" i="23"/>
  <c r="O18" i="23"/>
  <c r="E19" i="23"/>
  <c r="L19" i="23" s="1"/>
  <c r="O19" i="23"/>
  <c r="E20" i="23"/>
  <c r="H20" i="23"/>
  <c r="K20" i="23"/>
  <c r="O20" i="23"/>
  <c r="E21" i="23"/>
  <c r="L21" i="23" s="1"/>
  <c r="H21" i="23"/>
  <c r="K21" i="23"/>
  <c r="O21" i="23"/>
  <c r="E22" i="23"/>
  <c r="L22" i="23" s="1"/>
  <c r="H22" i="23"/>
  <c r="K22" i="23"/>
  <c r="O22" i="23"/>
  <c r="C23" i="23"/>
  <c r="D23" i="23"/>
  <c r="F23" i="23"/>
  <c r="G23" i="23"/>
  <c r="I23" i="23"/>
  <c r="J23" i="23"/>
  <c r="E25" i="23"/>
  <c r="L25" i="23" s="1"/>
  <c r="H25" i="23"/>
  <c r="K25" i="23"/>
  <c r="E26" i="23"/>
  <c r="L26" i="23" s="1"/>
  <c r="E27" i="23"/>
  <c r="L27" i="23" s="1"/>
  <c r="H27" i="23"/>
  <c r="K27" i="23"/>
  <c r="E28" i="23"/>
  <c r="L28" i="23" s="1"/>
  <c r="H28" i="23"/>
  <c r="K28" i="23"/>
  <c r="E29" i="23"/>
  <c r="L29" i="23" s="1"/>
  <c r="H29" i="23"/>
  <c r="K29" i="23"/>
  <c r="C30" i="23"/>
  <c r="D30" i="23"/>
  <c r="F30" i="23"/>
  <c r="G30" i="23"/>
  <c r="I30" i="23"/>
  <c r="J30" i="23"/>
  <c r="P30" i="23"/>
  <c r="Q30" i="23"/>
  <c r="C32" i="23"/>
  <c r="D32" i="23"/>
  <c r="F32" i="23"/>
  <c r="G32" i="23"/>
  <c r="I32" i="23"/>
  <c r="J32" i="23"/>
  <c r="C33" i="23"/>
  <c r="D33" i="23"/>
  <c r="C34" i="23"/>
  <c r="D34" i="23"/>
  <c r="F34" i="23"/>
  <c r="G34" i="23"/>
  <c r="I34" i="23"/>
  <c r="J34" i="23"/>
  <c r="C35" i="23"/>
  <c r="D35" i="23"/>
  <c r="F35" i="23"/>
  <c r="G35" i="23"/>
  <c r="I35" i="23"/>
  <c r="J35" i="23"/>
  <c r="C36" i="23"/>
  <c r="D36" i="23"/>
  <c r="F36" i="23"/>
  <c r="G36" i="23"/>
  <c r="I36" i="23"/>
  <c r="J36" i="23"/>
  <c r="H152" i="22"/>
  <c r="H153" i="22"/>
  <c r="H154" i="22"/>
  <c r="H155" i="22"/>
  <c r="H156" i="22"/>
  <c r="H157" i="22"/>
  <c r="H158" i="22"/>
  <c r="G159" i="22"/>
  <c r="H159" i="22"/>
  <c r="G160" i="22"/>
  <c r="G161" i="22"/>
  <c r="G162" i="22"/>
  <c r="G163" i="22"/>
  <c r="G164" i="22"/>
  <c r="G165" i="22"/>
  <c r="G166" i="22"/>
  <c r="G167" i="22"/>
  <c r="G168" i="22"/>
  <c r="G169" i="22"/>
  <c r="G170" i="22"/>
  <c r="G171" i="22"/>
  <c r="H171" i="22"/>
  <c r="G172" i="22"/>
  <c r="G173" i="22"/>
  <c r="G174" i="22"/>
  <c r="G175" i="22"/>
  <c r="G176" i="22"/>
  <c r="G177" i="22"/>
  <c r="G178" i="22"/>
  <c r="G179" i="22"/>
  <c r="G180" i="22"/>
  <c r="G181" i="22"/>
  <c r="G117" i="22"/>
  <c r="G118" i="22"/>
  <c r="G119" i="22"/>
  <c r="G120" i="22"/>
  <c r="D122" i="22"/>
  <c r="E122" i="22"/>
  <c r="F122" i="22"/>
  <c r="F108" i="22"/>
  <c r="F109" i="22"/>
  <c r="F110" i="22"/>
  <c r="F111" i="22"/>
  <c r="F112" i="22"/>
  <c r="D113" i="22"/>
  <c r="E113" i="22"/>
  <c r="F113" i="22"/>
  <c r="G113" i="22"/>
  <c r="I113" i="22"/>
  <c r="F99" i="22"/>
  <c r="I99" i="22"/>
  <c r="F101" i="22"/>
  <c r="I101" i="22"/>
  <c r="F102" i="22"/>
  <c r="I102" i="22"/>
  <c r="F103" i="22"/>
  <c r="I103" i="22"/>
  <c r="D104" i="22"/>
  <c r="E104" i="22"/>
  <c r="F104" i="22"/>
  <c r="G104" i="22"/>
  <c r="H104" i="22"/>
  <c r="I104" i="22"/>
  <c r="J104" i="22"/>
  <c r="K104" i="22"/>
  <c r="L104" i="22"/>
  <c r="F92" i="22"/>
  <c r="D67" i="22"/>
  <c r="E67" i="22"/>
  <c r="F67" i="22"/>
  <c r="D74" i="22"/>
  <c r="E74" i="22"/>
  <c r="F74" i="22"/>
  <c r="D81" i="22"/>
  <c r="E81" i="22"/>
  <c r="F81" i="22"/>
  <c r="D82" i="22"/>
  <c r="E82" i="22"/>
  <c r="F82" i="22"/>
  <c r="D89" i="22"/>
  <c r="E89" i="22"/>
  <c r="F89" i="22"/>
  <c r="F49" i="22"/>
  <c r="I49" i="22"/>
  <c r="L49" i="22"/>
  <c r="F50" i="22"/>
  <c r="I50" i="22"/>
  <c r="L50" i="22"/>
  <c r="F51" i="22"/>
  <c r="I51" i="22"/>
  <c r="L51" i="22"/>
  <c r="F52" i="22"/>
  <c r="D56" i="22"/>
  <c r="E56" i="22"/>
  <c r="F56" i="22"/>
  <c r="G56" i="22"/>
  <c r="J56" i="22"/>
  <c r="D57" i="22"/>
  <c r="E57" i="22"/>
  <c r="F57" i="22"/>
  <c r="G57" i="22"/>
  <c r="J57" i="22"/>
  <c r="F43" i="22"/>
  <c r="I43" i="22"/>
  <c r="L43" i="22"/>
  <c r="M43" i="22"/>
  <c r="F44" i="22"/>
  <c r="I44" i="22"/>
  <c r="L44" i="22"/>
  <c r="M44" i="22"/>
  <c r="F45" i="22"/>
  <c r="M45" i="22"/>
  <c r="F46" i="22"/>
  <c r="I46" i="22"/>
  <c r="L46" i="22"/>
  <c r="M46" i="22"/>
  <c r="D47" i="22"/>
  <c r="E47" i="22"/>
  <c r="F47" i="22"/>
  <c r="G47" i="22"/>
  <c r="H47" i="22"/>
  <c r="I47" i="22"/>
  <c r="J47" i="22"/>
  <c r="K47" i="22"/>
  <c r="L47" i="22"/>
  <c r="M47" i="22"/>
  <c r="F37" i="22"/>
  <c r="I37" i="22"/>
  <c r="F38" i="22"/>
  <c r="I38" i="22"/>
  <c r="F39" i="22"/>
  <c r="I39" i="22"/>
  <c r="F40" i="22"/>
  <c r="I40" i="22"/>
  <c r="D41" i="22"/>
  <c r="E41" i="22"/>
  <c r="F41" i="22"/>
  <c r="M41" i="22" s="1"/>
  <c r="G41" i="22"/>
  <c r="H41" i="22"/>
  <c r="I41" i="22"/>
  <c r="J41" i="22"/>
  <c r="K41" i="22"/>
  <c r="F30" i="22"/>
  <c r="I30" i="22"/>
  <c r="L30" i="22"/>
  <c r="M30" i="22"/>
  <c r="F31" i="22"/>
  <c r="I31" i="22"/>
  <c r="L31" i="22"/>
  <c r="M31" i="22"/>
  <c r="F32" i="22"/>
  <c r="I32" i="22"/>
  <c r="L32" i="22"/>
  <c r="M32" i="22"/>
  <c r="F33" i="22"/>
  <c r="I33" i="22"/>
  <c r="L33" i="22"/>
  <c r="M33" i="22"/>
  <c r="F34" i="22"/>
  <c r="I34" i="22"/>
  <c r="L34" i="22"/>
  <c r="M34" i="22"/>
  <c r="N34" i="22"/>
  <c r="F35" i="22"/>
  <c r="I35" i="22"/>
  <c r="L35" i="22"/>
  <c r="M35" i="22"/>
  <c r="F9" i="22"/>
  <c r="I9" i="22"/>
  <c r="L9" i="22"/>
  <c r="M9" i="22"/>
  <c r="P9" i="22"/>
  <c r="Q9" i="22"/>
  <c r="F10" i="22"/>
  <c r="M10" i="22"/>
  <c r="P10" i="22"/>
  <c r="Q10" i="22"/>
  <c r="F11" i="22"/>
  <c r="I11" i="22"/>
  <c r="L11" i="22"/>
  <c r="M11" i="22"/>
  <c r="P11" i="22"/>
  <c r="Q11" i="22"/>
  <c r="F12" i="22"/>
  <c r="I12" i="22"/>
  <c r="L12" i="22"/>
  <c r="M12" i="22"/>
  <c r="P12" i="22"/>
  <c r="Q12" i="22"/>
  <c r="F13" i="22"/>
  <c r="I13" i="22"/>
  <c r="L13" i="22"/>
  <c r="M13" i="22"/>
  <c r="P13" i="22"/>
  <c r="Q13" i="22"/>
  <c r="D14" i="22"/>
  <c r="E14" i="22"/>
  <c r="F14" i="22"/>
  <c r="G14" i="22"/>
  <c r="H14" i="22"/>
  <c r="I14" i="22"/>
  <c r="J14" i="22"/>
  <c r="K14" i="22"/>
  <c r="L14" i="22"/>
  <c r="M14" i="22"/>
  <c r="F16" i="22"/>
  <c r="I16" i="22"/>
  <c r="L16" i="22"/>
  <c r="M16" i="22"/>
  <c r="F17" i="22"/>
  <c r="M17" i="22"/>
  <c r="F18" i="22"/>
  <c r="I18" i="22"/>
  <c r="L18" i="22"/>
  <c r="M18" i="22"/>
  <c r="F19" i="22"/>
  <c r="I19" i="22"/>
  <c r="L19" i="22"/>
  <c r="M19" i="22"/>
  <c r="F20" i="22"/>
  <c r="I20" i="22"/>
  <c r="L20" i="22"/>
  <c r="M20" i="22"/>
  <c r="D21" i="22"/>
  <c r="E21" i="22"/>
  <c r="F21" i="22"/>
  <c r="M21" i="22" s="1"/>
  <c r="G21" i="22"/>
  <c r="H21" i="22"/>
  <c r="I21" i="22"/>
  <c r="J21" i="22"/>
  <c r="K21" i="22"/>
  <c r="L21" i="22"/>
  <c r="Q21" i="22"/>
  <c r="R21" i="22"/>
  <c r="D23" i="22"/>
  <c r="E23" i="22"/>
  <c r="F23" i="22"/>
  <c r="G23" i="22"/>
  <c r="H23" i="22"/>
  <c r="I23" i="22"/>
  <c r="J23" i="22"/>
  <c r="K23" i="22"/>
  <c r="L23" i="22"/>
  <c r="M23" i="22"/>
  <c r="D24" i="22"/>
  <c r="E24" i="22"/>
  <c r="F24" i="22"/>
  <c r="M24" i="22" s="1"/>
  <c r="D25" i="22"/>
  <c r="E25" i="22"/>
  <c r="F25" i="22"/>
  <c r="G25" i="22"/>
  <c r="H25" i="22"/>
  <c r="I25" i="22"/>
  <c r="J25" i="22"/>
  <c r="K25" i="22"/>
  <c r="L25" i="22"/>
  <c r="M25" i="22"/>
  <c r="D26" i="22"/>
  <c r="E26" i="22"/>
  <c r="F26" i="22"/>
  <c r="G26" i="22"/>
  <c r="H26" i="22"/>
  <c r="I26" i="22"/>
  <c r="J26" i="22"/>
  <c r="K26" i="22"/>
  <c r="L26" i="22"/>
  <c r="M26" i="22"/>
  <c r="D27" i="22"/>
  <c r="E27" i="22"/>
  <c r="F27" i="22"/>
  <c r="M27" i="22" s="1"/>
  <c r="G27" i="22"/>
  <c r="H27" i="22"/>
  <c r="I27" i="22"/>
  <c r="J27" i="22"/>
  <c r="K27" i="22"/>
  <c r="L27" i="22"/>
  <c r="D28" i="22"/>
  <c r="E28" i="22"/>
  <c r="F28" i="22"/>
  <c r="D140" i="22" s="1"/>
  <c r="G28" i="22"/>
  <c r="H28" i="22"/>
  <c r="I28" i="22"/>
  <c r="E92" i="22" s="1"/>
  <c r="J28" i="22"/>
  <c r="K28" i="22"/>
  <c r="L28" i="22"/>
  <c r="E33" i="21"/>
  <c r="E39" i="21" s="1"/>
  <c r="E35" i="21"/>
  <c r="E152" i="21" s="1"/>
  <c r="E36" i="21"/>
  <c r="E37" i="21"/>
  <c r="E38" i="21"/>
  <c r="E84" i="21"/>
  <c r="E95" i="21" s="1"/>
  <c r="E96" i="21"/>
  <c r="E105" i="21"/>
  <c r="E106" i="21"/>
  <c r="E132" i="21" s="1"/>
  <c r="E119" i="21"/>
  <c r="E123" i="21"/>
  <c r="E125" i="21"/>
  <c r="M122" i="21" s="1"/>
  <c r="E131" i="21"/>
  <c r="E136" i="21"/>
  <c r="E139" i="21" s="1"/>
  <c r="G72" i="21"/>
  <c r="F62" i="21"/>
  <c r="E62" i="21"/>
  <c r="D62" i="21"/>
  <c r="I62" i="21" s="1"/>
  <c r="G61" i="21"/>
  <c r="F61" i="21"/>
  <c r="E61" i="21"/>
  <c r="D61" i="21"/>
  <c r="G60" i="21"/>
  <c r="F60" i="21"/>
  <c r="E60" i="21"/>
  <c r="D60" i="21"/>
  <c r="G59" i="21"/>
  <c r="F59" i="21"/>
  <c r="E59" i="21"/>
  <c r="D59" i="21"/>
  <c r="G58" i="21"/>
  <c r="F58" i="21"/>
  <c r="E58" i="21"/>
  <c r="D58" i="21"/>
  <c r="I58" i="21" s="1"/>
  <c r="G57" i="21"/>
  <c r="F57" i="21"/>
  <c r="E57" i="21"/>
  <c r="D57" i="21"/>
  <c r="G56" i="21"/>
  <c r="F56" i="21"/>
  <c r="E56" i="21"/>
  <c r="D56" i="21"/>
  <c r="G55" i="21"/>
  <c r="F55" i="21"/>
  <c r="E55" i="21"/>
  <c r="D55" i="21"/>
  <c r="H49" i="21"/>
  <c r="G48" i="21"/>
  <c r="F48" i="21"/>
  <c r="E48" i="21"/>
  <c r="D48" i="21"/>
  <c r="G136" i="21"/>
  <c r="G139" i="21" s="1"/>
  <c r="F136" i="21"/>
  <c r="F139" i="21" s="1"/>
  <c r="D136" i="21"/>
  <c r="D139" i="21" s="1"/>
  <c r="G131" i="21"/>
  <c r="F131" i="21"/>
  <c r="D131" i="21"/>
  <c r="G125" i="21"/>
  <c r="O123" i="21" s="1"/>
  <c r="F125" i="21"/>
  <c r="N123" i="21" s="1"/>
  <c r="D125" i="21"/>
  <c r="L122" i="21" s="1"/>
  <c r="G123" i="21"/>
  <c r="F123" i="21"/>
  <c r="D123" i="21"/>
  <c r="O122" i="21"/>
  <c r="N122" i="21"/>
  <c r="M121" i="21"/>
  <c r="L121" i="21"/>
  <c r="O121" i="21"/>
  <c r="N121" i="21"/>
  <c r="M120" i="21"/>
  <c r="L120" i="21"/>
  <c r="O120" i="21"/>
  <c r="N120" i="21"/>
  <c r="M119" i="21"/>
  <c r="L119" i="21"/>
  <c r="G119" i="21"/>
  <c r="F119" i="21"/>
  <c r="D119" i="21"/>
  <c r="O119" i="21"/>
  <c r="N119" i="21"/>
  <c r="M118" i="21"/>
  <c r="L118" i="21"/>
  <c r="D115" i="21"/>
  <c r="G106" i="21"/>
  <c r="O124" i="21" s="1"/>
  <c r="F106" i="21"/>
  <c r="F132" i="21" s="1"/>
  <c r="D106" i="21"/>
  <c r="G105" i="21"/>
  <c r="F105" i="21"/>
  <c r="D105" i="21"/>
  <c r="I104" i="21"/>
  <c r="H104" i="21"/>
  <c r="I103" i="21"/>
  <c r="H103" i="21"/>
  <c r="I102" i="21"/>
  <c r="H102" i="21"/>
  <c r="I101" i="21"/>
  <c r="H101" i="21"/>
  <c r="F96" i="21"/>
  <c r="D96" i="21"/>
  <c r="I86" i="21"/>
  <c r="H86" i="21"/>
  <c r="G84" i="21"/>
  <c r="F84" i="21"/>
  <c r="F95" i="21" s="1"/>
  <c r="D84" i="21"/>
  <c r="D95" i="21" s="1"/>
  <c r="I83" i="21"/>
  <c r="H83" i="21"/>
  <c r="I81" i="21"/>
  <c r="H81" i="21"/>
  <c r="B39" i="21"/>
  <c r="G38" i="21"/>
  <c r="F38" i="21"/>
  <c r="D38" i="21"/>
  <c r="B38" i="21"/>
  <c r="G37" i="21"/>
  <c r="F37" i="21"/>
  <c r="D37" i="21"/>
  <c r="B37" i="21"/>
  <c r="G36" i="21"/>
  <c r="F36" i="21"/>
  <c r="D36" i="21"/>
  <c r="B36" i="21"/>
  <c r="G35" i="21"/>
  <c r="G152" i="21" s="1"/>
  <c r="F35" i="21"/>
  <c r="F152" i="21" s="1"/>
  <c r="D35" i="21"/>
  <c r="D152" i="21" s="1"/>
  <c r="G33" i="21"/>
  <c r="G39" i="21" s="1"/>
  <c r="F33" i="21"/>
  <c r="F39" i="21" s="1"/>
  <c r="D33" i="21"/>
  <c r="D39" i="21" s="1"/>
  <c r="I32" i="21"/>
  <c r="H32" i="21"/>
  <c r="I25" i="21"/>
  <c r="H25" i="21"/>
  <c r="I24" i="21"/>
  <c r="H24" i="21"/>
  <c r="I23" i="21"/>
  <c r="H23" i="21"/>
  <c r="I22" i="21"/>
  <c r="H22" i="21"/>
  <c r="I21" i="21"/>
  <c r="H21" i="21"/>
  <c r="I20" i="21"/>
  <c r="H20" i="21"/>
  <c r="I19" i="21"/>
  <c r="H19" i="21"/>
  <c r="I18" i="21"/>
  <c r="H18" i="21"/>
  <c r="I79" i="21"/>
  <c r="I99" i="21" s="1"/>
  <c r="H79" i="21"/>
  <c r="H99" i="21" s="1"/>
  <c r="H46" i="21" s="1"/>
  <c r="I14" i="21"/>
  <c r="H14" i="21"/>
  <c r="I13" i="21"/>
  <c r="H13" i="21"/>
  <c r="I12" i="21"/>
  <c r="H12" i="21"/>
  <c r="I11" i="21"/>
  <c r="H11" i="21"/>
  <c r="H10" i="21"/>
  <c r="E153" i="15"/>
  <c r="E51" i="21" l="1"/>
  <c r="G51" i="21"/>
  <c r="F51" i="21"/>
  <c r="H56" i="21"/>
  <c r="H60" i="21"/>
  <c r="I114" i="21"/>
  <c r="H114" i="21"/>
  <c r="D51" i="21"/>
  <c r="H61" i="21"/>
  <c r="H38" i="21"/>
  <c r="I57" i="21"/>
  <c r="I59" i="21"/>
  <c r="I55" i="21"/>
  <c r="H73" i="21"/>
  <c r="I73" i="21"/>
  <c r="H57" i="21"/>
  <c r="H36" i="21"/>
  <c r="H39" i="21"/>
  <c r="H63" i="21"/>
  <c r="I38" i="21"/>
  <c r="I56" i="21"/>
  <c r="H58" i="21"/>
  <c r="H37" i="21"/>
  <c r="H55" i="21"/>
  <c r="H59" i="21"/>
  <c r="H62" i="21"/>
  <c r="I37" i="21"/>
  <c r="I61" i="21"/>
  <c r="I36" i="21"/>
  <c r="I60" i="21"/>
  <c r="I39" i="21"/>
  <c r="I63" i="21"/>
  <c r="D40" i="21"/>
  <c r="D97" i="21"/>
  <c r="F97" i="21"/>
  <c r="E97" i="21"/>
  <c r="K30" i="23"/>
  <c r="C37" i="23"/>
  <c r="J37" i="23"/>
  <c r="D37" i="23"/>
  <c r="E36" i="23"/>
  <c r="F129" i="23" s="1"/>
  <c r="K58" i="23"/>
  <c r="H23" i="23"/>
  <c r="H35" i="23"/>
  <c r="K34" i="23"/>
  <c r="H34" i="23"/>
  <c r="E112" i="23"/>
  <c r="E121" i="23"/>
  <c r="H32" i="23"/>
  <c r="E96" i="23"/>
  <c r="E34" i="23"/>
  <c r="F127" i="23" s="1"/>
  <c r="H58" i="23"/>
  <c r="E30" i="23"/>
  <c r="L30" i="23" s="1"/>
  <c r="K35" i="23"/>
  <c r="H53" i="23"/>
  <c r="H30" i="23"/>
  <c r="D96" i="23"/>
  <c r="K23" i="23"/>
  <c r="I37" i="23"/>
  <c r="K36" i="23"/>
  <c r="H112" i="23"/>
  <c r="H36" i="23"/>
  <c r="E53" i="23"/>
  <c r="L53" i="23" s="1"/>
  <c r="G37" i="23"/>
  <c r="P22" i="23"/>
  <c r="F37" i="23"/>
  <c r="F96" i="23"/>
  <c r="P19" i="23"/>
  <c r="P20" i="23"/>
  <c r="E35" i="23"/>
  <c r="F128" i="23" s="1"/>
  <c r="E32" i="23"/>
  <c r="F125" i="23" s="1"/>
  <c r="E23" i="23"/>
  <c r="L23" i="23" s="1"/>
  <c r="E58" i="23"/>
  <c r="L58" i="23" s="1"/>
  <c r="P21" i="23"/>
  <c r="L20" i="23"/>
  <c r="P18" i="23"/>
  <c r="E33" i="23"/>
  <c r="K32" i="23"/>
  <c r="M28" i="22"/>
  <c r="D92" i="22"/>
  <c r="G121" i="22"/>
  <c r="G122" i="22"/>
  <c r="E124" i="21"/>
  <c r="H106" i="21"/>
  <c r="E134" i="21"/>
  <c r="I105" i="21"/>
  <c r="E40" i="21"/>
  <c r="E42" i="21" s="1"/>
  <c r="E133" i="21"/>
  <c r="G132" i="21"/>
  <c r="I84" i="21"/>
  <c r="H105" i="21"/>
  <c r="F124" i="21"/>
  <c r="F134" i="21"/>
  <c r="G134" i="21"/>
  <c r="H48" i="21"/>
  <c r="F40" i="21"/>
  <c r="F42" i="21" s="1"/>
  <c r="H33" i="21"/>
  <c r="D124" i="21"/>
  <c r="D133" i="21"/>
  <c r="G40" i="21"/>
  <c r="G42" i="21" s="1"/>
  <c r="I33" i="21"/>
  <c r="D134" i="21"/>
  <c r="F133" i="21"/>
  <c r="G124" i="21"/>
  <c r="G133" i="21"/>
  <c r="N124" i="21"/>
  <c r="I106" i="21"/>
  <c r="H95" i="21"/>
  <c r="H84" i="21"/>
  <c r="G95" i="21"/>
  <c r="I95" i="21" s="1"/>
  <c r="L123" i="21"/>
  <c r="D132" i="21"/>
  <c r="M123" i="21"/>
  <c r="D42" i="21" l="1"/>
  <c r="I40" i="21"/>
  <c r="D41" i="21"/>
  <c r="H40" i="21"/>
  <c r="F41" i="21"/>
  <c r="E41" i="21"/>
  <c r="G41" i="21"/>
  <c r="E37" i="23"/>
  <c r="C8" i="23" s="1"/>
  <c r="L36" i="23"/>
  <c r="K37" i="23"/>
  <c r="E8" i="23" s="1"/>
  <c r="L34" i="23"/>
  <c r="H37" i="23"/>
  <c r="D8" i="23" s="1"/>
  <c r="F126" i="23"/>
  <c r="L33" i="23"/>
  <c r="L35" i="23"/>
  <c r="L32" i="23"/>
  <c r="H41" i="21" l="1"/>
  <c r="I41" i="21"/>
  <c r="I42" i="21"/>
  <c r="H42" i="21"/>
  <c r="L37" i="23"/>
  <c r="D148" i="23"/>
  <c r="F130" i="23"/>
  <c r="E40" i="14" l="1"/>
  <c r="H42" i="14" l="1"/>
  <c r="G42" i="14"/>
  <c r="F42" i="14"/>
  <c r="E42" i="14"/>
  <c r="N41" i="14"/>
  <c r="R137" i="14"/>
  <c r="E72" i="14" l="1"/>
  <c r="D25" i="18" s="1"/>
  <c r="E94" i="14"/>
  <c r="E71" i="14"/>
  <c r="E73" i="14"/>
  <c r="N125" i="3" l="1"/>
  <c r="N120" i="3"/>
  <c r="N121" i="3"/>
  <c r="N122" i="3"/>
  <c r="N123" i="3"/>
  <c r="K120" i="3"/>
  <c r="K121" i="3"/>
  <c r="K122" i="3"/>
  <c r="K123" i="3"/>
  <c r="K124" i="3"/>
  <c r="K125" i="3"/>
  <c r="H120" i="3"/>
  <c r="H121" i="3"/>
  <c r="H122" i="3"/>
  <c r="H123" i="3"/>
  <c r="H124" i="3"/>
  <c r="H125" i="3"/>
  <c r="N119" i="3"/>
  <c r="K119" i="3"/>
  <c r="H119" i="3"/>
  <c r="N118" i="3"/>
  <c r="K118" i="3"/>
  <c r="H118" i="3"/>
  <c r="N117" i="3"/>
  <c r="K117" i="3"/>
  <c r="H117" i="3"/>
  <c r="E42" i="3"/>
  <c r="E52" i="3"/>
  <c r="O15" i="14"/>
  <c r="I13" i="14"/>
  <c r="J13" i="14" s="1"/>
  <c r="N134" i="14"/>
  <c r="G134" i="14"/>
  <c r="Q129" i="14"/>
  <c r="Q127" i="14"/>
  <c r="G58" i="14"/>
  <c r="F58" i="14"/>
  <c r="H29" i="19"/>
  <c r="F29" i="19"/>
  <c r="H28" i="19"/>
  <c r="F28" i="19"/>
  <c r="H24" i="19"/>
  <c r="H23" i="19"/>
  <c r="F24" i="19"/>
  <c r="F23" i="19"/>
  <c r="G23" i="19" s="1"/>
  <c r="B42" i="3"/>
  <c r="B41" i="3"/>
  <c r="B40" i="3"/>
  <c r="B39" i="3"/>
  <c r="M134" i="3"/>
  <c r="L124" i="3"/>
  <c r="M124" i="3" s="1"/>
  <c r="J134" i="3"/>
  <c r="I124" i="3"/>
  <c r="G134" i="3"/>
  <c r="F124" i="3"/>
  <c r="E124" i="3"/>
  <c r="E71" i="3"/>
  <c r="E33" i="14"/>
  <c r="N76" i="14"/>
  <c r="Q133" i="14"/>
  <c r="Q132" i="14"/>
  <c r="Q131" i="14"/>
  <c r="Q130" i="14"/>
  <c r="Q128" i="14"/>
  <c r="Q135" i="14" l="1"/>
  <c r="R128" i="14" s="1"/>
  <c r="E39" i="14"/>
  <c r="R127" i="14"/>
  <c r="J28" i="19"/>
  <c r="G124" i="3"/>
  <c r="J124" i="3"/>
  <c r="R131" i="14" l="1"/>
  <c r="R129" i="14"/>
  <c r="R130" i="14"/>
  <c r="R133" i="14"/>
  <c r="R132" i="14"/>
  <c r="R135" i="14" l="1"/>
  <c r="I22" i="19" l="1"/>
  <c r="G24" i="19"/>
  <c r="J24" i="19" s="1"/>
  <c r="J22" i="19"/>
  <c r="J30" i="19"/>
  <c r="J25" i="19"/>
  <c r="I30" i="19"/>
  <c r="J29" i="19"/>
  <c r="I29" i="19"/>
  <c r="I28" i="19"/>
  <c r="I25" i="19"/>
  <c r="I24" i="19"/>
  <c r="I23" i="19"/>
  <c r="J22" i="6"/>
  <c r="J23" i="19" l="1"/>
  <c r="J25" i="6" l="1"/>
  <c r="K18" i="14"/>
  <c r="Q13" i="14"/>
  <c r="I11" i="8" l="1"/>
  <c r="I7" i="8"/>
  <c r="I8" i="8"/>
  <c r="P13" i="14"/>
  <c r="G43" i="18"/>
  <c r="F43" i="18"/>
  <c r="F44" i="18" s="1"/>
  <c r="J18" i="14"/>
  <c r="I18" i="14"/>
  <c r="J49" i="14" l="1"/>
  <c r="I22" i="6"/>
  <c r="H124" i="14" l="1"/>
  <c r="I124" i="14"/>
  <c r="K124" i="14"/>
  <c r="L124" i="14"/>
  <c r="F124" i="14"/>
  <c r="E124" i="14"/>
  <c r="M134" i="14"/>
  <c r="M124" i="14" s="1"/>
  <c r="J134" i="14"/>
  <c r="J124" i="14" s="1"/>
  <c r="G124" i="14"/>
  <c r="I25" i="6"/>
  <c r="I49" i="14"/>
  <c r="I51" i="14"/>
  <c r="J51" i="14"/>
  <c r="I54" i="14"/>
  <c r="J54" i="14"/>
  <c r="P12" i="14"/>
  <c r="H26" i="19"/>
  <c r="K17" i="14"/>
  <c r="J17" i="14"/>
  <c r="J47" i="14" s="1"/>
  <c r="J65" i="14" s="1"/>
  <c r="I17" i="14"/>
  <c r="I47" i="14" s="1"/>
  <c r="I65" i="14" s="1"/>
  <c r="O109" i="14" s="1"/>
  <c r="H123" i="14"/>
  <c r="K47" i="14" l="1"/>
  <c r="K65" i="14" s="1"/>
  <c r="P15" i="14"/>
  <c r="P14" i="14"/>
  <c r="P10" i="14"/>
  <c r="J67" i="14"/>
  <c r="I67" i="14"/>
  <c r="J70" i="14"/>
  <c r="J69" i="14"/>
  <c r="J68" i="14"/>
  <c r="B38" i="14"/>
  <c r="O13" i="14"/>
  <c r="D15" i="18"/>
  <c r="G130" i="14"/>
  <c r="E120" i="14"/>
  <c r="D9" i="18"/>
  <c r="D8" i="18"/>
  <c r="D7" i="18"/>
  <c r="D36" i="18"/>
  <c r="D35" i="18"/>
  <c r="D34" i="18"/>
  <c r="D26" i="18"/>
  <c r="E77" i="14"/>
  <c r="E81" i="14"/>
  <c r="E58" i="14"/>
  <c r="D24" i="18" s="1"/>
  <c r="D33" i="18"/>
  <c r="D32" i="18"/>
  <c r="D29" i="18"/>
  <c r="E9" i="8"/>
  <c r="I9" i="8" s="1"/>
  <c r="F9" i="8"/>
  <c r="H9" i="8"/>
  <c r="G9" i="8"/>
  <c r="D26" i="6"/>
  <c r="E26" i="6"/>
  <c r="F26" i="6"/>
  <c r="G26" i="6"/>
  <c r="H26" i="6"/>
  <c r="I69" i="14"/>
  <c r="I68" i="14"/>
  <c r="I70" i="14"/>
  <c r="O10" i="14"/>
  <c r="D31" i="18"/>
  <c r="D42" i="18"/>
  <c r="D41" i="18"/>
  <c r="D40" i="18"/>
  <c r="D39" i="18"/>
  <c r="D38" i="18"/>
  <c r="D37" i="18"/>
  <c r="D23" i="18"/>
  <c r="D22" i="18"/>
  <c r="D18" i="18"/>
  <c r="D16" i="18"/>
  <c r="D13" i="18"/>
  <c r="D12" i="18"/>
  <c r="D11" i="18"/>
  <c r="D10" i="18"/>
  <c r="O76" i="14"/>
  <c r="P76" i="14"/>
  <c r="Q76" i="14"/>
  <c r="O77" i="14"/>
  <c r="P77" i="14"/>
  <c r="Q77" i="14"/>
  <c r="O78" i="14"/>
  <c r="P78" i="14"/>
  <c r="Q78" i="14"/>
  <c r="O79" i="14"/>
  <c r="P79" i="14"/>
  <c r="Q79" i="14"/>
  <c r="N79" i="14"/>
  <c r="N78" i="14"/>
  <c r="N77" i="14"/>
  <c r="D43" i="18" l="1"/>
  <c r="E82" i="14"/>
  <c r="H94" i="14"/>
  <c r="H97" i="14" s="1"/>
  <c r="D30" i="18"/>
  <c r="H89" i="3"/>
  <c r="G89" i="3"/>
  <c r="E38" i="14"/>
  <c r="F89" i="3"/>
  <c r="O112" i="14"/>
  <c r="G71" i="3"/>
  <c r="H71" i="3"/>
  <c r="F71" i="3"/>
  <c r="G89" i="14"/>
  <c r="H89" i="14"/>
  <c r="F89" i="14"/>
  <c r="E89" i="14"/>
  <c r="F71" i="14"/>
  <c r="G71" i="14"/>
  <c r="H71" i="14"/>
  <c r="F26" i="19" s="1"/>
  <c r="G26" i="19" s="1"/>
  <c r="F94" i="14"/>
  <c r="F97" i="14" s="1"/>
  <c r="G94" i="14"/>
  <c r="G97" i="14" s="1"/>
  <c r="F97" i="3"/>
  <c r="G97" i="3"/>
  <c r="H97" i="3"/>
  <c r="E97" i="14"/>
  <c r="E97" i="3"/>
  <c r="J26" i="19" l="1"/>
  <c r="I26" i="19"/>
  <c r="J71" i="14"/>
  <c r="K71" i="14"/>
  <c r="D27" i="18"/>
  <c r="D28" i="18"/>
  <c r="I71" i="14"/>
  <c r="F111" i="3"/>
  <c r="E111" i="3"/>
  <c r="D8" i="6"/>
  <c r="E10" i="6"/>
  <c r="D10" i="6"/>
  <c r="E8" i="6"/>
  <c r="L111" i="14"/>
  <c r="F111" i="14"/>
  <c r="E111" i="14"/>
  <c r="D14" i="18" s="1"/>
  <c r="H81" i="14"/>
  <c r="F137" i="14" l="1"/>
  <c r="G127" i="14"/>
  <c r="O11" i="14"/>
  <c r="E39" i="3" l="1"/>
  <c r="E40" i="3"/>
  <c r="E41" i="3"/>
  <c r="H39" i="3"/>
  <c r="H40" i="3"/>
  <c r="H41" i="3"/>
  <c r="G39" i="3"/>
  <c r="G40" i="3"/>
  <c r="G41" i="3"/>
  <c r="F39" i="3"/>
  <c r="F40" i="3"/>
  <c r="F41" i="3"/>
  <c r="H38" i="3"/>
  <c r="G38" i="3"/>
  <c r="F38" i="3"/>
  <c r="E38" i="3"/>
  <c r="E37" i="14"/>
  <c r="E36" i="14"/>
  <c r="F36" i="14"/>
  <c r="F37" i="14"/>
  <c r="F38" i="14"/>
  <c r="F33" i="14"/>
  <c r="F39" i="14" s="1"/>
  <c r="G36" i="14"/>
  <c r="G37" i="14"/>
  <c r="G38" i="14"/>
  <c r="G33" i="14"/>
  <c r="G39" i="14" s="1"/>
  <c r="H36" i="14"/>
  <c r="H37" i="14"/>
  <c r="H38" i="14"/>
  <c r="H33" i="14"/>
  <c r="H39" i="14" s="1"/>
  <c r="H35" i="14"/>
  <c r="G35" i="14"/>
  <c r="F35" i="14"/>
  <c r="E35" i="14"/>
  <c r="B39" i="14"/>
  <c r="B37" i="14"/>
  <c r="B36" i="14"/>
  <c r="I19" i="14"/>
  <c r="J19" i="14"/>
  <c r="I20" i="14"/>
  <c r="J20" i="14"/>
  <c r="I21" i="14"/>
  <c r="J21" i="14"/>
  <c r="I22" i="14"/>
  <c r="J22" i="14"/>
  <c r="I23" i="14"/>
  <c r="J23" i="14"/>
  <c r="I24" i="14"/>
  <c r="J24" i="14"/>
  <c r="I25" i="14"/>
  <c r="J25" i="14"/>
  <c r="I32" i="14"/>
  <c r="J32" i="14"/>
  <c r="O12" i="14"/>
  <c r="O14" i="14"/>
  <c r="G111" i="14"/>
  <c r="H111" i="14"/>
  <c r="O111" i="14" s="1"/>
  <c r="I111" i="14"/>
  <c r="J127" i="14"/>
  <c r="J111" i="14" s="1"/>
  <c r="K111" i="14"/>
  <c r="M127" i="14"/>
  <c r="M111" i="14" s="1"/>
  <c r="N111" i="14"/>
  <c r="P11" i="14"/>
  <c r="E83" i="3"/>
  <c r="F137" i="3"/>
  <c r="E137" i="3"/>
  <c r="G135" i="3"/>
  <c r="G128" i="3"/>
  <c r="G127" i="3"/>
  <c r="G111" i="3" s="1"/>
  <c r="G129" i="3"/>
  <c r="G130" i="3"/>
  <c r="E121" i="3"/>
  <c r="F121" i="3"/>
  <c r="G131" i="3"/>
  <c r="G132" i="3"/>
  <c r="G133" i="3"/>
  <c r="E125" i="3"/>
  <c r="F125" i="3"/>
  <c r="E123" i="3"/>
  <c r="F123" i="3"/>
  <c r="E122" i="3"/>
  <c r="F122" i="3"/>
  <c r="E120" i="3"/>
  <c r="F120" i="3"/>
  <c r="E119" i="3"/>
  <c r="F119" i="3"/>
  <c r="E118" i="3"/>
  <c r="F118" i="3"/>
  <c r="E117" i="3"/>
  <c r="F117" i="3"/>
  <c r="E90" i="3"/>
  <c r="E91" i="3"/>
  <c r="E92" i="3"/>
  <c r="E81" i="3"/>
  <c r="E82" i="3" s="1"/>
  <c r="M11" i="3"/>
  <c r="E137" i="14"/>
  <c r="D17" i="18" s="1"/>
  <c r="E125" i="14"/>
  <c r="F125" i="14"/>
  <c r="E123" i="14"/>
  <c r="F123" i="14"/>
  <c r="E122" i="14"/>
  <c r="F122" i="14"/>
  <c r="E121" i="14"/>
  <c r="F121" i="14"/>
  <c r="F120" i="14"/>
  <c r="E119" i="14"/>
  <c r="F119" i="14"/>
  <c r="E118" i="14"/>
  <c r="F118" i="14"/>
  <c r="F117" i="14"/>
  <c r="G128" i="14"/>
  <c r="G129" i="14"/>
  <c r="G131" i="14"/>
  <c r="G132" i="14"/>
  <c r="G133" i="14"/>
  <c r="G135" i="14"/>
  <c r="E117" i="14"/>
  <c r="M22" i="6"/>
  <c r="M19" i="6"/>
  <c r="N19" i="6"/>
  <c r="H77" i="14"/>
  <c r="H82" i="14" s="1"/>
  <c r="H72" i="14"/>
  <c r="D20" i="18"/>
  <c r="G11" i="14"/>
  <c r="G12" i="14"/>
  <c r="G13" i="14"/>
  <c r="G14" i="14"/>
  <c r="G10" i="14"/>
  <c r="J10" i="14"/>
  <c r="J11" i="14"/>
  <c r="J12" i="14"/>
  <c r="M10" i="14"/>
  <c r="M11" i="14"/>
  <c r="M12" i="14"/>
  <c r="M13" i="14"/>
  <c r="J14" i="14"/>
  <c r="G11" i="3"/>
  <c r="G12" i="3"/>
  <c r="G13" i="3"/>
  <c r="G14" i="3"/>
  <c r="G10" i="3"/>
  <c r="J11" i="3"/>
  <c r="J12" i="3"/>
  <c r="J10" i="3"/>
  <c r="M12" i="3"/>
  <c r="M10" i="3"/>
  <c r="L22" i="10"/>
  <c r="I22" i="10"/>
  <c r="F24" i="10"/>
  <c r="J128" i="14"/>
  <c r="J118" i="14" s="1"/>
  <c r="L125" i="14"/>
  <c r="L123" i="14"/>
  <c r="L122" i="14"/>
  <c r="L121" i="14"/>
  <c r="L120" i="14"/>
  <c r="L119" i="14"/>
  <c r="L118" i="14"/>
  <c r="L117" i="14"/>
  <c r="M135" i="14"/>
  <c r="M125" i="14" s="1"/>
  <c r="M133" i="14"/>
  <c r="M123" i="14" s="1"/>
  <c r="M132" i="14"/>
  <c r="M122" i="14" s="1"/>
  <c r="M131" i="14"/>
  <c r="M121" i="14" s="1"/>
  <c r="M130" i="14"/>
  <c r="M120" i="14" s="1"/>
  <c r="M129" i="14"/>
  <c r="M119" i="14" s="1"/>
  <c r="M128" i="14"/>
  <c r="M118" i="14" s="1"/>
  <c r="L137" i="14"/>
  <c r="I137" i="14"/>
  <c r="I125" i="14"/>
  <c r="I123" i="14"/>
  <c r="I122" i="14"/>
  <c r="I121" i="14"/>
  <c r="I120" i="14"/>
  <c r="I119" i="14"/>
  <c r="I118" i="14"/>
  <c r="I117" i="14"/>
  <c r="J135" i="14"/>
  <c r="J125" i="14" s="1"/>
  <c r="J133" i="14"/>
  <c r="J123" i="14" s="1"/>
  <c r="J132" i="14"/>
  <c r="J122" i="14" s="1"/>
  <c r="J131" i="14"/>
  <c r="J121" i="14" s="1"/>
  <c r="J130" i="14"/>
  <c r="J120" i="14" s="1"/>
  <c r="J129" i="14"/>
  <c r="J119" i="14" s="1"/>
  <c r="H125" i="14"/>
  <c r="H122" i="14"/>
  <c r="H121" i="14"/>
  <c r="H120" i="14"/>
  <c r="H119" i="14"/>
  <c r="H118" i="14"/>
  <c r="N118" i="14"/>
  <c r="N119" i="14"/>
  <c r="N120" i="14"/>
  <c r="N121" i="14"/>
  <c r="N122" i="14"/>
  <c r="N123" i="14"/>
  <c r="N125" i="14"/>
  <c r="K125" i="14"/>
  <c r="K123" i="14"/>
  <c r="K122" i="14"/>
  <c r="K121" i="14"/>
  <c r="K120" i="14"/>
  <c r="K119" i="14"/>
  <c r="K118" i="14"/>
  <c r="N117" i="14"/>
  <c r="K117" i="14"/>
  <c r="H117" i="14"/>
  <c r="L137" i="3"/>
  <c r="M135" i="3"/>
  <c r="M133" i="3"/>
  <c r="M132" i="3"/>
  <c r="M131" i="3"/>
  <c r="M130" i="3"/>
  <c r="M129" i="3"/>
  <c r="L125" i="3"/>
  <c r="M125" i="3" s="1"/>
  <c r="L123" i="3"/>
  <c r="M123" i="3" s="1"/>
  <c r="L122" i="3"/>
  <c r="M122" i="3" s="1"/>
  <c r="L121" i="3"/>
  <c r="M121" i="3" s="1"/>
  <c r="L120" i="3"/>
  <c r="M120" i="3" s="1"/>
  <c r="L119" i="3"/>
  <c r="M119" i="3" s="1"/>
  <c r="J135" i="3"/>
  <c r="J133" i="3"/>
  <c r="J132" i="3"/>
  <c r="J131" i="3"/>
  <c r="J130" i="3"/>
  <c r="J129" i="3"/>
  <c r="I125" i="3"/>
  <c r="J125" i="3" s="1"/>
  <c r="I123" i="3"/>
  <c r="J123" i="3" s="1"/>
  <c r="I122" i="3"/>
  <c r="J122" i="3" s="1"/>
  <c r="I121" i="3"/>
  <c r="J121" i="3" s="1"/>
  <c r="I120" i="3"/>
  <c r="J120" i="3" s="1"/>
  <c r="I119" i="3"/>
  <c r="J119" i="3" s="1"/>
  <c r="I137" i="3"/>
  <c r="M128" i="3"/>
  <c r="L118" i="3"/>
  <c r="M118" i="3" s="1"/>
  <c r="L117" i="3"/>
  <c r="M117" i="3" s="1"/>
  <c r="I118" i="3"/>
  <c r="J118" i="3" s="1"/>
  <c r="J128" i="3"/>
  <c r="I117" i="3"/>
  <c r="J117" i="3" s="1"/>
  <c r="M127" i="3"/>
  <c r="J127" i="3"/>
  <c r="F83" i="14"/>
  <c r="O80" i="14" s="1"/>
  <c r="G83" i="14"/>
  <c r="P80" i="14" s="1"/>
  <c r="H83" i="14"/>
  <c r="Q80" i="14" s="1"/>
  <c r="F81" i="14"/>
  <c r="G81" i="14"/>
  <c r="F77" i="14"/>
  <c r="G77" i="14"/>
  <c r="R25" i="6"/>
  <c r="Q25" i="6"/>
  <c r="P25" i="6"/>
  <c r="O25" i="6"/>
  <c r="N25" i="6"/>
  <c r="M25" i="6"/>
  <c r="N22" i="6"/>
  <c r="O22" i="6"/>
  <c r="P22" i="6"/>
  <c r="Q22" i="6"/>
  <c r="R22" i="6"/>
  <c r="O19" i="6"/>
  <c r="P19" i="6"/>
  <c r="Q19" i="6"/>
  <c r="R19" i="6"/>
  <c r="R18" i="6"/>
  <c r="Q18" i="6"/>
  <c r="P18" i="6"/>
  <c r="O18" i="6"/>
  <c r="N18" i="6"/>
  <c r="F92" i="3"/>
  <c r="F83" i="3"/>
  <c r="F81" i="3"/>
  <c r="G92" i="3"/>
  <c r="G83" i="3"/>
  <c r="G81" i="3"/>
  <c r="H92" i="3"/>
  <c r="H83" i="3"/>
  <c r="H77" i="3"/>
  <c r="H81" i="3"/>
  <c r="F77" i="3"/>
  <c r="G77" i="3"/>
  <c r="F72" i="14"/>
  <c r="G72" i="14"/>
  <c r="E52" i="14"/>
  <c r="E56" i="14" s="1"/>
  <c r="H27" i="19" s="1"/>
  <c r="F52" i="14"/>
  <c r="G52" i="14"/>
  <c r="H52" i="14"/>
  <c r="M14" i="14"/>
  <c r="C19" i="10"/>
  <c r="H102" i="3"/>
  <c r="H101" i="3"/>
  <c r="G102" i="3"/>
  <c r="G101" i="3"/>
  <c r="F102" i="3"/>
  <c r="F101" i="3"/>
  <c r="G52" i="3"/>
  <c r="G56" i="3" s="1"/>
  <c r="H52" i="3"/>
  <c r="H56" i="3" s="1"/>
  <c r="F52" i="3"/>
  <c r="F56" i="3" s="1"/>
  <c r="E56" i="3"/>
  <c r="E33" i="3"/>
  <c r="H33" i="3"/>
  <c r="H42" i="3" s="1"/>
  <c r="G33" i="3"/>
  <c r="G42" i="3" s="1"/>
  <c r="F33" i="3"/>
  <c r="F42" i="3" s="1"/>
  <c r="H14" i="3"/>
  <c r="J14" i="3" s="1"/>
  <c r="I13" i="3"/>
  <c r="H13" i="3"/>
  <c r="L14" i="3"/>
  <c r="K14" i="3"/>
  <c r="M13" i="3"/>
  <c r="G90" i="3"/>
  <c r="G91" i="3"/>
  <c r="F90" i="3"/>
  <c r="F91" i="3"/>
  <c r="H91" i="3"/>
  <c r="H90" i="3"/>
  <c r="F82" i="3" l="1"/>
  <c r="G137" i="3"/>
  <c r="I52" i="14"/>
  <c r="J52" i="14"/>
  <c r="J72" i="14"/>
  <c r="G90" i="14"/>
  <c r="P81" i="14"/>
  <c r="N80" i="14"/>
  <c r="D19" i="18"/>
  <c r="H91" i="14"/>
  <c r="Q81" i="14"/>
  <c r="F91" i="14"/>
  <c r="O81" i="14"/>
  <c r="E90" i="14"/>
  <c r="N81" i="14"/>
  <c r="I72" i="14"/>
  <c r="G122" i="3"/>
  <c r="G117" i="14"/>
  <c r="G119" i="14"/>
  <c r="G123" i="14"/>
  <c r="F90" i="14"/>
  <c r="H90" i="14"/>
  <c r="J137" i="3"/>
  <c r="H82" i="3"/>
  <c r="M14" i="3"/>
  <c r="G91" i="14"/>
  <c r="H92" i="14"/>
  <c r="G82" i="14"/>
  <c r="F82" i="14"/>
  <c r="E43" i="3"/>
  <c r="G120" i="3"/>
  <c r="G123" i="3"/>
  <c r="G125" i="3"/>
  <c r="M137" i="3"/>
  <c r="F43" i="3"/>
  <c r="G121" i="3"/>
  <c r="J13" i="3"/>
  <c r="G117" i="3"/>
  <c r="G82" i="3"/>
  <c r="H43" i="3"/>
  <c r="G119" i="3"/>
  <c r="G56" i="14"/>
  <c r="M117" i="14"/>
  <c r="F56" i="14"/>
  <c r="J117" i="14"/>
  <c r="I33" i="14"/>
  <c r="G118" i="3"/>
  <c r="G122" i="14"/>
  <c r="J137" i="14"/>
  <c r="G92" i="14"/>
  <c r="F92" i="14"/>
  <c r="G137" i="14"/>
  <c r="G125" i="14"/>
  <c r="H56" i="14"/>
  <c r="F27" i="19" s="1"/>
  <c r="G27" i="19" s="1"/>
  <c r="J27" i="19" s="1"/>
  <c r="G121" i="14"/>
  <c r="G118" i="14"/>
  <c r="H40" i="14"/>
  <c r="G120" i="14"/>
  <c r="F40" i="14"/>
  <c r="M137" i="14"/>
  <c r="J33" i="14"/>
  <c r="G40" i="14"/>
  <c r="E92" i="14"/>
  <c r="G43" i="3"/>
  <c r="N36" i="14" l="1"/>
  <c r="N39" i="14"/>
  <c r="N37" i="14"/>
  <c r="I31" i="19"/>
  <c r="I27" i="19"/>
  <c r="K56" i="14"/>
  <c r="J56" i="14"/>
  <c r="I56" i="14"/>
  <c r="D21" i="18"/>
  <c r="N40" i="14"/>
  <c r="N38"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tc={423F34A1-4C81-4186-9F94-C09C51DD05F1}</author>
  </authors>
  <commentList>
    <comment ref="O3" authorId="0" shapeId="0" xr:uid="{423F34A1-4C81-4186-9F94-C09C51DD05F1}">
      <text>
        <t>[Threaded comment]
Your version of Excel allows you to read this threaded comment; however, any edits to it will get removed if the file is opened in a newer version of Excel. Learn more: https://go.microsoft.com/fwlink/?linkid=870924
Comment:
    @Andrew Bain just a nudge when you have a few minutes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tc={045CEAD6-44D5-4DE1-AE3A-0499C42C9616}</author>
    <author>tc={D8177E34-4D20-4233-952E-063C50A69C81}</author>
    <author>tc={EB1C496A-7E95-46CD-B1C4-2C14A77160C9}</author>
    <author>tc={31588365-2E37-48C3-A341-F195A3CC917D}</author>
    <author>tc={6DE5A362-2CB6-4CAE-918A-B45D7D1B215B}</author>
    <author>tc={66A0C1D0-063F-46BA-B2B7-35584E49DB76}</author>
    <author>tc={7395D06B-4809-436C-8613-C7B8EA4843EA}</author>
    <author>tc={E2DACDBD-2CE9-404F-9CD1-EA1926F7E895}</author>
    <author>tc={5BBA88AF-99A1-4EE5-A219-EE93D2238B34}</author>
    <author>tc={2C43F909-8CE6-44CD-A9BD-F2A9F2136806}</author>
    <author>tc={DCA6DCC2-4F95-4441-8A02-030ECD0194BB}</author>
    <author>tc={E5EF1409-32A3-47D2-95CD-E380E26A28E5}</author>
    <author>tc={B6AECDD5-0693-4415-B7BC-DF4F010AB5EF}</author>
    <author>tc={FD31075B-9724-4D99-9246-CAB9D9771295}</author>
    <author>tc={2D5D4FAA-F4DC-4012-BB10-693DB2B05DC8}</author>
    <author>tc={05FA9193-32F8-40FA-BE15-690D7028CBCC}</author>
    <author>tc={F313A705-16E2-42CA-911B-106A4110655C}</author>
    <author>tc={0218E8B7-C208-4FBE-8BF2-6D8FB15A903F}</author>
    <author>tc={1E44BA25-80ED-4FB3-9E92-571D4DF6C243}</author>
    <author>tc={4B56B321-22A0-41E6-BEBD-72F8A1AB0AB7}</author>
    <author>tc={C8765530-3B60-4CEF-A961-F5F29077E42B}</author>
    <author>tc={56C32388-E193-46ED-9ACA-92FB0958F5BB}</author>
    <author>tc={E99AD1A7-DF42-4DF8-BA52-F02DF784972E}</author>
    <author>tc={1E0FCF4C-9EEA-4D19-B7A5-51AF4D59D8FE}</author>
    <author>tc={ABC36D99-FAA2-463C-B701-6B82A6B210FA}</author>
    <author>tc={07B07872-8C1B-4596-8DAE-D7873EADC94A}</author>
    <author>tc={29719286-53A7-48C2-8938-DF1D49675701}</author>
    <author>tc={1A878988-3E19-4FE6-A6B1-9181675A35CC}</author>
    <author>tc={3E34FCC1-B6DB-4896-A1B4-C063FABAF873}</author>
    <author>tc={E2276F93-69E3-4439-8844-5EA8EE80479C}</author>
  </authors>
  <commentList>
    <comment ref="H10" authorId="0" shapeId="0" xr:uid="{045CEAD6-44D5-4DE1-AE3A-0499C42C9616}">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I10" authorId="1" shapeId="0" xr:uid="{D8177E34-4D20-4233-952E-063C50A69C81}">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J10" authorId="2" shapeId="0" xr:uid="{EB1C496A-7E95-46CD-B1C4-2C14A77160C9}">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K10" authorId="3" shapeId="0" xr:uid="{31588365-2E37-48C3-A341-F195A3CC917D}">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L10" authorId="4" shapeId="0" xr:uid="{6DE5A362-2CB6-4CAE-918A-B45D7D1B215B}">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M10" authorId="5" shapeId="0" xr:uid="{66A0C1D0-063F-46BA-B2B7-35584E49DB76}">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N10" authorId="6" shapeId="0" xr:uid="{7395D06B-4809-436C-8613-C7B8EA4843EA}">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H13" authorId="7" shapeId="0" xr:uid="{E2DACDBD-2CE9-404F-9CD1-EA1926F7E895}">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I13" authorId="8" shapeId="0" xr:uid="{5BBA88AF-99A1-4EE5-A219-EE93D2238B34}">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J13" authorId="9" shapeId="0" xr:uid="{2C43F909-8CE6-44CD-A9BD-F2A9F2136806}">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K13" authorId="10" shapeId="0" xr:uid="{DCA6DCC2-4F95-4441-8A02-030ECD0194BB}">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L13" authorId="11" shapeId="0" xr:uid="{E5EF1409-32A3-47D2-95CD-E380E26A28E5}">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M13" authorId="12" shapeId="0" xr:uid="{B6AECDD5-0693-4415-B7BC-DF4F010AB5EF}">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N13" authorId="13" shapeId="0" xr:uid="{FD31075B-9724-4D99-9246-CAB9D9771295}">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H14" authorId="14" shapeId="0" xr:uid="{2D5D4FAA-F4DC-4012-BB10-693DB2B05DC8}">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I14" authorId="15" shapeId="0" xr:uid="{05FA9193-32F8-40FA-BE15-690D7028CBCC}">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J14" authorId="16" shapeId="0" xr:uid="{F313A705-16E2-42CA-911B-106A4110655C}">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K14" authorId="17" shapeId="0" xr:uid="{0218E8B7-C208-4FBE-8BF2-6D8FB15A903F}">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L14" authorId="18" shapeId="0" xr:uid="{1E44BA25-80ED-4FB3-9E92-571D4DF6C243}">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M14" authorId="19" shapeId="0" xr:uid="{4B56B321-22A0-41E6-BEBD-72F8A1AB0AB7}">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N14" authorId="20" shapeId="0" xr:uid="{C8765530-3B60-4CEF-A961-F5F29077E42B}">
      <text>
        <t>[Threaded comment]
Your version of Excel allows you to read this threaded comment; however, any edits to it will get removed if the file is opened in a newer version of Excel. Learn more: https://go.microsoft.com/fwlink/?linkid=870924
Comment:
    Scope 1 value restated due to improbved accuracy in N2O reporting.</t>
      </text>
    </comment>
    <comment ref="G100" authorId="21" shapeId="0" xr:uid="{56C32388-E193-46ED-9ACA-92FB0958F5BB}">
      <text>
        <t>[Threaded comment]
Your version of Excel allows you to read this threaded comment; however, any edits to it will get removed if the file is opened in a newer version of Excel. Learn more: https://go.microsoft.com/fwlink/?linkid=870924
Comment:
    Original data was 298,955 kg</t>
      </text>
    </comment>
    <comment ref="H100" authorId="22" shapeId="0" xr:uid="{E99AD1A7-DF42-4DF8-BA52-F02DF784972E}">
      <text>
        <t>[Threaded comment]
Your version of Excel allows you to read this threaded comment; however, any edits to it will get removed if the file is opened in a newer version of Excel. Learn more: https://go.microsoft.com/fwlink/?linkid=870924
Comment:
    Original value was 301,869</t>
      </text>
    </comment>
    <comment ref="K120" authorId="23" shapeId="0" xr:uid="{1E0FCF4C-9EEA-4D19-B7A5-51AF4D59D8FE}">
      <text>
        <t>[Threaded comment]
Your version of Excel allows you to read this threaded comment; however, any edits to it will get removed if the file is opened in a newer version of Excel. Learn more: https://go.microsoft.com/fwlink/?linkid=870924
Comment:
    Original value before rstatement was 4107694</t>
      </text>
    </comment>
    <comment ref="K122" authorId="24" shapeId="0" xr:uid="{ABC36D99-FAA2-463C-B701-6B82A6B210FA}">
      <text>
        <t>[Threaded comment]
Your version of Excel allows you to read this threaded comment; however, any edits to it will get removed if the file is opened in a newer version of Excel. Learn more: https://go.microsoft.com/fwlink/?linkid=870924
Comment:
    Original value before restatement was 1224735</t>
      </text>
    </comment>
    <comment ref="K125" authorId="25" shapeId="0" xr:uid="{07B07872-8C1B-4596-8DAE-D7873EADC94A}">
      <text>
        <t>[Threaded comment]
Your version of Excel allows you to read this threaded comment; however, any edits to it will get removed if the file is opened in a newer version of Excel. Learn more: https://go.microsoft.com/fwlink/?linkid=870924
Comment:
    Original value before restatement was 615809</t>
      </text>
    </comment>
    <comment ref="K130" authorId="26" shapeId="0" xr:uid="{29719286-53A7-48C2-8938-DF1D49675701}">
      <text>
        <t>[Threaded comment]
Your version of Excel allows you to read this threaded comment; however, any edits to it will get removed if the file is opened in a newer version of Excel. Learn more: https://go.microsoft.com/fwlink/?linkid=870924
Comment:
    Original value last year of 141026138 changed after energy restatements for renewable energy</t>
      </text>
    </comment>
    <comment ref="K132" authorId="27" shapeId="0" xr:uid="{1A878988-3E19-4FE6-A6B1-9181675A35CC}">
      <text>
        <t>[Threaded comment]
Your version of Excel allows you to read this threaded comment; however, any edits to it will get removed if the file is opened in a newer version of Excel. Learn more: https://go.microsoft.com/fwlink/?linkid=870924
Comment:
    Original value from last year reported was 340204183 Following restatement has altered</t>
      </text>
    </comment>
    <comment ref="K135" authorId="28" shapeId="0" xr:uid="{3E34FCC1-B6DB-4896-A1B4-C063FABAF873}">
      <text>
        <t>[Threaded comment]
Your version of Excel allows you to read this threaded comment; however, any edits to it will get removed if the file is opened in a newer version of Excel. Learn more: https://go.microsoft.com/fwlink/?linkid=870924
Comment:
    Original value before correction was 171,057,996</t>
      </text>
    </comment>
    <comment ref="K137" authorId="29" shapeId="0" xr:uid="{E2276F93-69E3-4439-8844-5EA8EE80479C}">
      <text>
        <t>[Threaded comment]
Your version of Excel allows you to read this threaded comment; however, any edits to it will get removed if the file is opened in a newer version of Excel. Learn more: https://go.microsoft.com/fwlink/?linkid=870924
Comment:
    Original value was 30.9% before restatement of renewable electricity</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Xin Ngfat</author>
  </authors>
  <commentList>
    <comment ref="B10" authorId="0" shapeId="0" xr:uid="{FFA28DE6-B952-4767-8054-EBBD987AF037}">
      <text>
        <r>
          <rPr>
            <sz val="10"/>
            <color indexed="81"/>
            <rFont val="Verdana"/>
            <family val="2"/>
          </rPr>
          <t xml:space="preserve">
Scope 1 emissions are the direct Emissions from our sites and come from a number of sources. Scope 1 emissions are emitted following combustion of Fuels at our sites and this encompasses any fuels we consume in our operations (e.g. natural gas, LPG, Diesel etc).  We also emit GHG directly from our processes which comprise of CO2 or CO2 equivalents that we directly emit. The GHG that we consider are those mentioned in the Kyoto Protocol and cover CH4, N2O and refrigerant gases in addition to CO2.  Scope 1 emissions also include emissions from fuel used in JM owned vehicles.
Scope 1 emissions from fuel use are calculated by applying calorific values and emission factors sourced from DEFRA </t>
        </r>
      </text>
    </comment>
    <comment ref="B11" authorId="0" shapeId="0" xr:uid="{35C2FE94-E483-4F99-87D8-6DE614D9580A}">
      <text>
        <r>
          <rPr>
            <sz val="10"/>
            <color indexed="81"/>
            <rFont val="Verdana"/>
            <family val="2"/>
          </rPr>
          <t xml:space="preserve">
Scope 2 are indirect emissions and relates to our electricity and any steam energy that we import onto site that has not be generated by Johnson Matthey burning fuel that has been reported in the scope 1 section above.  
The Market based Greenhouse Gas emission factors for Grid electricity purchases from suppliers that the site / business unit has purposefully chosen.  This is the carbon intensity of purchased electricity. These are obtained in writing direct from the supplier</t>
        </r>
      </text>
    </comment>
    <comment ref="B12" authorId="0" shapeId="0" xr:uid="{DD79B860-0DCD-422B-8660-D0551A05A190}">
      <text>
        <r>
          <rPr>
            <sz val="10"/>
            <color indexed="81"/>
            <rFont val="Verdana"/>
            <family val="2"/>
          </rPr>
          <t xml:space="preserve">
Scope 2 are indirect emissions and relates to our electricity and any steam energy that we import onto site that has not be generated by Johnson Matthey burning fuel that has been reported in the scope 1 section above.  
The Location based Greenhouse Gas emission factor for grid electricity purchases uses the carbon intensity from the location of the purchase and is sourced from the most up to date factors from eGrid (USA) DEFRA (UK) and IEA (rest of World). </t>
        </r>
      </text>
    </comment>
    <comment ref="B13" authorId="0" shapeId="0" xr:uid="{EFF25D66-9714-4E11-8335-0296651C5CD8}">
      <text>
        <r>
          <rPr>
            <sz val="10"/>
            <color indexed="81"/>
            <rFont val="Verdana"/>
            <family val="2"/>
          </rPr>
          <t xml:space="preserve">
This is our operational GHG footprint using the Scope 1 emissions and the market based Scope 2 emissions as stated above.</t>
        </r>
      </text>
    </comment>
    <comment ref="B14" authorId="0" shapeId="0" xr:uid="{5E54F472-C26B-449C-9D33-BB06DFF00875}">
      <text>
        <r>
          <rPr>
            <sz val="10"/>
            <color indexed="81"/>
            <rFont val="Verdana"/>
            <family val="2"/>
          </rPr>
          <t xml:space="preserve">
This is our operational GHG footprint using the Scope 1 emissions and the location based Scope 2 emissions as stated above.</t>
        </r>
      </text>
    </comment>
    <comment ref="B15" authorId="0" shapeId="0" xr:uid="{E6AA52E8-08AB-42D0-B11F-DDDC7BF95C72}">
      <text>
        <r>
          <rPr>
            <sz val="10"/>
            <color indexed="81"/>
            <rFont val="Verdana"/>
            <family val="2"/>
          </rPr>
          <t xml:space="preserve">
This is the total scope 1 GHG emissions and  Scope 2 GHG emissions based on the market values factored against the weight of product sold. </t>
        </r>
      </text>
    </comment>
    <comment ref="B18" authorId="0" shapeId="0" xr:uid="{5978D33D-096F-49CD-8A6D-BE20D20BACEC}">
      <text>
        <r>
          <rPr>
            <sz val="10"/>
            <color indexed="81"/>
            <rFont val="Verdana"/>
            <family val="2"/>
          </rPr>
          <t>Where mass of purchased goods was available, this was used in combination with GHG intensity factors obtained either from suppliers or EcoInvent. For the remaining goods and for purchased services a financial allocation (EEIO model) was used</t>
        </r>
      </text>
    </comment>
    <comment ref="B19" authorId="0" shapeId="0" xr:uid="{AF932271-CF3C-462C-97F8-44E05C7A5C38}">
      <text>
        <r>
          <rPr>
            <sz val="10"/>
            <color indexed="81"/>
            <rFont val="Verdana"/>
            <family val="2"/>
          </rPr>
          <t>Financial allocation (EEIO model) using geographical breakdown of data shown in Accounting note 12 “Property, plant &amp; equipment” on page 174</t>
        </r>
      </text>
    </comment>
    <comment ref="B20" authorId="0" shapeId="0" xr:uid="{A861B69E-B1B7-4093-BDF3-282AC0DE3DBB}">
      <text>
        <r>
          <rPr>
            <sz val="10"/>
            <color indexed="81"/>
            <rFont val="Verdana"/>
            <family val="2"/>
          </rPr>
          <t>Defra’s GHG reporting conversion factors 2022 were used to calculate well-to-tank GHG emissions from fuel usage, transmission and distribution losses from purchased electricity, and well-to-tank and transmission and distribution losses of energy from steam</t>
        </r>
      </text>
    </comment>
    <comment ref="B21" authorId="0" shapeId="0" xr:uid="{492BD891-C208-4854-9834-1229CDC5A01D}">
      <text>
        <r>
          <rPr>
            <sz val="10"/>
            <color indexed="81"/>
            <rFont val="Verdana"/>
            <family val="2"/>
          </rPr>
          <t>Emissions data was provided by our suppliers where available. Otherwise, a financial allocation was made based on spend and intensity factors from the EEIO mode</t>
        </r>
      </text>
    </comment>
    <comment ref="B22" authorId="0" shapeId="0" xr:uid="{B8DE6842-7FE2-4C54-A119-E2889F832AF3}">
      <text>
        <r>
          <rPr>
            <sz val="10"/>
            <color indexed="81"/>
            <rFont val="Verdana"/>
            <family val="2"/>
          </rPr>
          <t>Where GHG footprints were available from waste service providers they were used, otherwise Defra’s GHG reporting conversion factors 2022 were used according to mass of waste disposal by destination see page 46</t>
        </r>
      </text>
    </comment>
    <comment ref="B23" authorId="0" shapeId="0" xr:uid="{8808F123-FE98-4AB5-BEF4-71F90D457F2B}">
      <text>
        <r>
          <rPr>
            <sz val="10"/>
            <color indexed="81"/>
            <rFont val="Verdana"/>
            <family val="2"/>
          </rPr>
          <t>Footprint business travel for air and rail was obtained from our business travel service providers. Where available mileage for personal car, taxi and public transport use was used in combination with Defra’s GHG reporting conversion factors 2022. In the absence of mileage, a financial allocation was made based on expenses spend and intensity factors from the EEIO model. Accounting is by date of financial transaction</t>
        </r>
      </text>
    </comment>
    <comment ref="B24" authorId="0" shapeId="0" xr:uid="{54C4A068-F891-4B70-B88D-C7DB21B285E5}">
      <text>
        <r>
          <rPr>
            <sz val="10"/>
            <color indexed="81"/>
            <rFont val="Verdana"/>
            <family val="2"/>
          </rPr>
          <t>Data is obtained by employee survey of miles travelled per week by modes of transport. Defra’s GHG reporting conversion factors 2022 are used to calculate the GHG intensity of each transport type</t>
        </r>
      </text>
    </comment>
    <comment ref="B25" authorId="0" shapeId="0" xr:uid="{56E19751-9707-4C55-AAD6-2FC528D87C73}">
      <text>
        <r>
          <rPr>
            <sz val="10"/>
            <color indexed="81"/>
            <rFont val="Verdana"/>
            <family val="2"/>
          </rPr>
          <t>Financial allocation (EEIO model) using floor space and geographical location</t>
        </r>
      </text>
    </comment>
    <comment ref="B26" authorId="0" shapeId="0" xr:uid="{3CD3E72C-DF34-4CF8-B7C2-CC2279A05826}">
      <text>
        <r>
          <rPr>
            <sz val="10"/>
            <color indexed="81"/>
            <rFont val="Verdana"/>
            <family val="2"/>
          </rPr>
          <t>Where JM takes responsibility for the downstream distribution of goods, it was included in the upstream category calculation. Where our customers takes responsibility, no data is available</t>
        </r>
      </text>
    </comment>
    <comment ref="B27" authorId="0" shapeId="0" xr:uid="{12942587-7E06-49E8-9272-E8228D1DC6DA}">
      <text>
        <r>
          <rPr>
            <sz val="10"/>
            <color indexed="81"/>
            <rFont val="Verdana"/>
            <family val="2"/>
          </rPr>
          <t>No quantitative data available, but not expected to be material based on our knowledge of how our customers use our products</t>
        </r>
      </text>
    </comment>
    <comment ref="B28" authorId="0" shapeId="0" xr:uid="{E9379C54-8129-48B7-8488-4FFF6766FFCD}">
      <text>
        <r>
          <rPr>
            <sz val="10"/>
            <color indexed="81"/>
            <rFont val="Verdana"/>
            <family val="2"/>
          </rPr>
          <t>We have removed Use of sold products from our footprint by agreement with SBTi, as it determined that the emissions we reported in this category were ‘indirect’ and should not, therefore, be included.</t>
        </r>
      </text>
    </comment>
    <comment ref="B29" authorId="0" shapeId="0" xr:uid="{00F03746-1F38-4E52-AD4F-F849A766073A}">
      <text>
        <r>
          <rPr>
            <sz val="10"/>
            <color indexed="81"/>
            <rFont val="Verdana"/>
            <family val="2"/>
          </rPr>
          <t>Many of JM’s products are returned to the company for recovery of the precious metals and thus end of life treatment is included in our Scope 1 and Scope 2 footprint. JM does not have visibility of other end of life treatments</t>
        </r>
      </text>
    </comment>
    <comment ref="B30" authorId="0" shapeId="0" xr:uid="{89E84C11-90F2-4DB5-AB4E-6388496D05EE}">
      <text>
        <r>
          <rPr>
            <sz val="10"/>
            <color indexed="81"/>
            <rFont val="Verdana"/>
            <family val="2"/>
          </rPr>
          <t>Included in Upstream leased assets category</t>
        </r>
      </text>
    </comment>
    <comment ref="B31" authorId="0" shapeId="0" xr:uid="{EC213310-037E-4E43-8391-EE0337747D11}">
      <text>
        <r>
          <rPr>
            <sz val="10"/>
            <color indexed="81"/>
            <rFont val="Verdana"/>
            <family val="2"/>
          </rPr>
          <t>JM does not have any franchises</t>
        </r>
      </text>
    </comment>
    <comment ref="B32" authorId="0" shapeId="0" xr:uid="{4484E058-6722-4374-B03D-160635F70A29}">
      <text>
        <r>
          <rPr>
            <sz val="10"/>
            <color indexed="81"/>
            <rFont val="Verdana"/>
            <family val="2"/>
          </rPr>
          <t>GHG footprints from our Pensions trustee providers were used, where available, and scaled to represent JM's global employee count. Financial allocation (EEIO model) using geographical breakdown of investment revenues from each entity</t>
        </r>
      </text>
    </comment>
    <comment ref="B48" authorId="0" shapeId="0" xr:uid="{175B0089-8403-40F9-B80E-6CEDA1992BFA}">
      <text>
        <r>
          <rPr>
            <sz val="10"/>
            <color indexed="81"/>
            <rFont val="Verdana"/>
            <family val="2"/>
          </rPr>
          <t>This is the total energy consumed by JM (expressed in MWh in the operations that it controls. Energy can be from fuels and covers Natural Gas, Diesel, Gasoline, LPG, LNG and fuel oil. Energyu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t>
        </r>
      </text>
    </comment>
    <comment ref="B49" authorId="0" shapeId="0" xr:uid="{2A23E601-09FE-4E99-902D-E1D17CBD8BE7}">
      <text>
        <r>
          <rPr>
            <sz val="10"/>
            <color indexed="81"/>
            <rFont val="Verdana"/>
            <family val="2"/>
          </rPr>
          <t>This is the total energy used by the business divided by amount of materials sold to customers.</t>
        </r>
      </text>
    </comment>
    <comment ref="B50" authorId="0" shapeId="0" xr:uid="{10055198-DB26-4D53-BC3B-07066B6C1D0F}">
      <text>
        <r>
          <rPr>
            <sz val="10"/>
            <color indexed="81"/>
            <rFont val="Verdana"/>
            <family val="2"/>
          </rPr>
          <t>This is the total amount of renewable electricity supplied to site or generated on site as a percentage of the total electricity used by JM. The total amount includes non renewable electricity generated by JM on our own sites as well as all electricit supplied to JM through  grid or direct connection.</t>
        </r>
      </text>
    </comment>
    <comment ref="B66" authorId="0" shapeId="0" xr:uid="{F2893684-7383-4FFC-9BD1-06617548BE76}">
      <text>
        <r>
          <rPr>
            <sz val="10"/>
            <color indexed="81"/>
            <rFont val="Verdana"/>
            <family val="2"/>
          </rPr>
          <t>This is the total amount of electrical energy used on site (expressed in kWh) and includes all grid supplied electricity. It also includes 100% Renewable Electricity (NOT grid connected) purchased locally from 3rd party generator - Electricity which is generated locally from renewable sources either on or directly connected to a JM site (e.g. solar, wind, hydro…). The facility will be owned and operated by a 3rd party. It also includes 100% renewable electricity generated from facility owned &amp; operated by JM - This will be generated from an installation owned and operated by JM staff. It also includes all non renewable elctrical energy generated by JM on site (i.e. not provided from an external grid).</t>
        </r>
      </text>
    </comment>
    <comment ref="B67" authorId="0" shapeId="0" xr:uid="{AE1422BE-87C9-4B3C-8992-E96012D145A2}">
      <text>
        <r>
          <rPr>
            <sz val="10"/>
            <color indexed="81"/>
            <rFont val="Verdana"/>
            <family val="2"/>
          </rPr>
          <t>This is the energy from natural gas use (expressed as kWh) that is used within JM processes. The gas use my be reported as an energy amount (id billed in that way) or the natural gas usage gas is converted to energy by applying a calorific value to s metered volume of gas used. Calorific values are taken from the miost up to date DEFRA conversion factors data at the time of reporting.</t>
        </r>
      </text>
    </comment>
    <comment ref="B68" authorId="0" shapeId="0" xr:uid="{687246BD-CC2B-469D-9A66-79A37FE084F5}">
      <text>
        <r>
          <rPr>
            <sz val="10"/>
            <color indexed="81"/>
            <rFont val="Verdana"/>
            <family val="2"/>
          </rPr>
          <t>This is the total non renewable energy consumed by JM (expressed in kWh)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
This is calculated by taking the total energy consumption and subtracting the renewable energy consumption.</t>
        </r>
      </text>
    </comment>
    <comment ref="B69" authorId="0" shapeId="0" xr:uid="{E8422A88-33D1-4043-8DB3-0961CBFD049E}">
      <text>
        <r>
          <rPr>
            <sz val="10"/>
            <color indexed="81"/>
            <rFont val="Verdana"/>
            <family val="2"/>
          </rPr>
          <t>This is the total energy consumed by JM (expressed in Gj) in the operations that it controls. Energy from non renewable fuels and covers Natural Gas, Diesel, Gasoline, LPG, LNG and fuel oil. The volume or weight of the fuel is converted into an energy value by applying calorific values sourced from the most up to date version of the DEFRA emissions factors data set.</t>
        </r>
      </text>
    </comment>
    <comment ref="B70" authorId="0" shapeId="0" xr:uid="{D4F95AA3-266D-41D2-BEA7-C366D3EBA784}">
      <text>
        <r>
          <rPr>
            <sz val="10"/>
            <color indexed="81"/>
            <rFont val="Verdana"/>
            <family val="2"/>
          </rPr>
          <t>This is the total of non renewable electrical energy (expressed as kWh) purchased from a grid that is consumed for site operations. Values are taken from supplier invoices that cover the time period in question.</t>
        </r>
      </text>
    </comment>
    <comment ref="B71" authorId="0" shapeId="0" xr:uid="{9FEB0B2C-A7BB-49A9-A449-2C4D7ED9695A}">
      <text>
        <r>
          <rPr>
            <sz val="10"/>
            <color indexed="81"/>
            <rFont val="Verdana"/>
            <family val="2"/>
          </rPr>
          <t>This is the steam energy (expressed as kWh) purchased from a supplier and not produced on a JM site. The steam is supplied by consuming non renewable energy sources by the supplier.  The steam is supplied as a weight and this is converted to an energy using temperatures, pressures and latent heat of the supplied energy.</t>
        </r>
      </text>
    </comment>
    <comment ref="B72" authorId="0" shapeId="0" xr:uid="{18A2FBEE-CB58-44A5-8775-BBCBC7C2FB37}">
      <text>
        <r>
          <rPr>
            <sz val="10"/>
            <color indexed="81"/>
            <rFont val="Verdana"/>
            <family val="2"/>
          </rPr>
          <t xml:space="preserve">This is the energy used from either the direct fuel used or mileage traveled by JM vehicles or JM employees in road vehicles when on company business. </t>
        </r>
      </text>
    </comment>
    <comment ref="B73" authorId="0" shapeId="0" xr:uid="{065C91CC-65CB-42B7-9625-F1C4B7BA3D40}">
      <text>
        <r>
          <rPr>
            <sz val="10"/>
            <color indexed="81"/>
            <rFont val=" verdana"/>
          </rPr>
          <t>This is the total amount of renewable energy (expressed as GJ) supplied to site or generated on site for use in our operations. The energy is certified renewable or is purchased as a renewable supply.</t>
        </r>
      </text>
    </comment>
    <comment ref="B81" authorId="0" shapeId="0" xr:uid="{B78E1880-0FE3-4FC5-B0DC-D1A2AAAA14AD}">
      <text>
        <r>
          <rPr>
            <sz val="10"/>
            <color indexed="81"/>
            <rFont val="Verdana"/>
            <family val="2"/>
          </rPr>
          <t>This is fresh water that is supplied to site via mains pipework.</t>
        </r>
      </text>
    </comment>
    <comment ref="B82" authorId="0" shapeId="0" xr:uid="{5A9B5874-4EC5-4110-A0AA-E0A4471A8B9B}">
      <text>
        <r>
          <rPr>
            <sz val="10"/>
            <color indexed="81"/>
            <rFont val="Verdana"/>
            <family val="2"/>
          </rPr>
          <t>This is water that is extracted from fresh surface water</t>
        </r>
      </text>
    </comment>
    <comment ref="B83" authorId="0" shapeId="0" xr:uid="{42F94C63-7CE7-4FC3-A520-D9108C5D1CD2}">
      <text>
        <r>
          <rPr>
            <sz val="10"/>
            <color indexed="81"/>
            <rFont val="Verdana"/>
            <family val="2"/>
          </rPr>
          <t xml:space="preserve">Water in soil beneath the soil surface, usually under conditions where the pressure in the water is greater than the atmospheric pressure, and the soil voids are substantially filled with the water. </t>
        </r>
      </text>
    </comment>
    <comment ref="B84" authorId="0" shapeId="0" xr:uid="{01AB2AF8-5C8D-40D9-80C5-C5A76FBBEDDB}">
      <text>
        <r>
          <rPr>
            <sz val="10"/>
            <color indexed="81"/>
            <rFont val="Verdana"/>
            <family val="2"/>
          </rPr>
          <t xml:space="preserve">This is the total fresh mains water, water extracted from the surface of the earth and water extracted from beneath the ground. </t>
        </r>
      </text>
    </comment>
    <comment ref="B86" authorId="0" shapeId="0" xr:uid="{0C4F0592-3303-418E-9DAF-A4451157E774}">
      <text>
        <r>
          <rPr>
            <sz val="10"/>
            <color indexed="81"/>
            <rFont val="Verdana"/>
            <family val="2"/>
          </rPr>
          <t>This is wastewater that is returned to its original source and is of equal or higher quality than the water that was originally extracted. In JM we only consider water returned to fresh surface water (lakes, rivers etc) or fresh ground water for this indicator.</t>
        </r>
      </text>
    </comment>
    <comment ref="B88" authorId="0" shapeId="0" xr:uid="{398A002F-B38D-49A2-83D6-CDA930EBC196}">
      <text>
        <r>
          <rPr>
            <sz val="10"/>
            <color indexed="81"/>
            <rFont val="Tahoma"/>
            <family val="2"/>
          </rPr>
          <t>This is the total amount of wastewater that is discharged from all JM operations and includes wastewater that may require further treatment from municipal sewerage systems, water that requires no further treatment that is sent to brackish surface water and water that requires no treatment that is returned to the groundwater source from which it was originally extracted.</t>
        </r>
      </text>
    </comment>
    <comment ref="B91" authorId="0" shapeId="0" xr:uid="{A9631693-9675-44F2-8BAC-5F1BB05C5A4E}">
      <text>
        <r>
          <rPr>
            <sz val="10"/>
            <color indexed="81"/>
            <rFont val="Verdana"/>
            <family val="2"/>
          </rPr>
          <t>This is the Chemical Oxygen Demand (COD) of the wastewater that JM discharges from site. Chemical oxygen demand is a measure of the capacity of water to consume oxygen during the decomposition of organic matter and the oxidation of inorganic chemicals such as Ammonia and nitrite. COD is seen as being an indicator of chemical contamination in water. COD is measured on wastewaters discharged from site</t>
        </r>
      </text>
    </comment>
    <comment ref="B92" authorId="0" shapeId="0" xr:uid="{1D2AE209-BACE-41BF-AA77-788F74423ED0}">
      <text>
        <r>
          <rPr>
            <sz val="10"/>
            <color indexed="81"/>
            <rFont val="Verdana"/>
            <family val="2"/>
          </rPr>
          <t>This represents the amount of wastewater at JM where COD is routinely measured.</t>
        </r>
      </text>
    </comment>
    <comment ref="B95" authorId="0" shapeId="0" xr:uid="{54613D08-4F79-4EEE-8E84-416221D70952}">
      <text>
        <r>
          <rPr>
            <sz val="10"/>
            <color indexed="81"/>
            <rFont val="Verdana"/>
            <family val="2"/>
          </rPr>
          <t>This indicator equates the net fresh waterusage indicator as per the DJSI reporting criteria. This equates to the fresh water takn into site from mains, surface and groundwater which is adjusted for any water that is returned to fresh surface or groundwater.</t>
        </r>
      </text>
    </comment>
    <comment ref="B96" authorId="0" shapeId="0" xr:uid="{EF6F40EA-2902-427C-AFED-445775950EC2}">
      <text>
        <r>
          <rPr>
            <sz val="10"/>
            <color indexed="81"/>
            <rFont val="Verdana"/>
            <family val="2"/>
          </rPr>
          <t>This indicator equates the net fresh water usage indicator as per the DJSI reporting criteria in areas that are rated as "high" or "extremely High" baseline water stress under the WRI Aqueduct model. This equates to the fresh water takn into site from mains, fresh surface water and fresh groundwater. This is then adjusted for any water that is returned at the same or at higher quality to fresh surface water or fresh groundwater.
The JM facility coordinates are entered into the WRI Aqueduct model and the Baseline Water Stress is calculated. Baseline water stress measures the ratio of total water withdrawals to available renewable surface water and groundwater supplies. Water withdrawals include domestic, industrial, irrigation, and livestock consumptive and nonconsumptive uses. Available renewable water supplies include the impact of upstream consumptive water users and large dams on downstream water availability. Higher values indicate more competition among users.</t>
        </r>
      </text>
    </comment>
    <comment ref="B101" authorId="0" shapeId="0" xr:uid="{FA2F564E-B36B-4578-99F7-959530EEBDC9}">
      <text>
        <r>
          <rPr>
            <sz val="10"/>
            <color indexed="81"/>
            <rFont val="Verdana"/>
            <family val="2"/>
          </rPr>
          <t>Hazardous waste is material deemed hazardous under the terms of the Basel Convention Annex I, II, III, 179 and VIII.  A solid waste is any item that is transported in a skip or similar container that cannot be poured</t>
        </r>
      </text>
    </comment>
    <comment ref="B102" authorId="0" shapeId="0" xr:uid="{D05EF9B7-5C0D-4D73-B64F-D2D74859B98D}">
      <text>
        <r>
          <rPr>
            <sz val="10"/>
            <color indexed="81"/>
            <rFont val="Verdana"/>
            <family val="2"/>
          </rPr>
          <t>Hazardous waste is material deemed hazardous under the terms of the Basel Convention Annex I, II, III, 179 and VIII.  A liquid waste is any item that can be poured and is transported in IBC, tanker or sealed container</t>
        </r>
      </text>
    </comment>
    <comment ref="B103" authorId="0" shapeId="0" xr:uid="{A604139C-0B5E-4EBF-A6FF-B39F92979AC3}">
      <text>
        <r>
          <rPr>
            <sz val="10"/>
            <color indexed="81"/>
            <rFont val="Verdana"/>
            <family val="2"/>
          </rPr>
          <t>Non Hazardous waste is material that is not deemed hazardous under the terms of the Basel Convention Annex I, II, III, 179 and VIII.  A solid waste is any item that is transported in a skip or similar container that cannot be poured</t>
        </r>
      </text>
    </comment>
    <comment ref="B104" authorId="0" shapeId="0" xr:uid="{33B8DA16-C17E-46E0-8D31-BCD65959C278}">
      <text>
        <r>
          <rPr>
            <sz val="10"/>
            <color indexed="81"/>
            <rFont val="Verdana"/>
            <family val="2"/>
          </rPr>
          <t>Non Hazardous waste is material not deemed hazardous under the terms of the Basel Convention Annex I, II, III, 179 and VIII.  A liquid waste is any item that can be poured and is transported in IBC, tanker or sealed container</t>
        </r>
      </text>
    </comment>
    <comment ref="B105" authorId="0" shapeId="0" xr:uid="{51AA756E-DA99-4D12-9202-FDDA60F2DE93}">
      <text>
        <r>
          <rPr>
            <sz val="10"/>
            <color indexed="81"/>
            <rFont val="Verdana"/>
            <family val="2"/>
          </rPr>
          <t xml:space="preserve">This represents all hazardous waste that is generated and then sent offsite for treatment. Hazardous waste is material deemed hazardous under the terms of the Basel Convention Annex I, II, III, 179 and VIII.  </t>
        </r>
      </text>
    </comment>
    <comment ref="B106" authorId="0" shapeId="0" xr:uid="{A1391F9E-44AE-4C09-A027-248DF015583B}">
      <text>
        <r>
          <rPr>
            <sz val="10"/>
            <color indexed="81"/>
            <rFont val="Verdana"/>
            <family val="2"/>
          </rPr>
          <t>Waste is recorded under various classifications across JM as either hazardous or non hazardous. The total waste represents all the waste that is generated by JM operations and that is sent outside of JM for treatment or disposal.</t>
        </r>
      </text>
    </comment>
    <comment ref="B109" authorId="0" shapeId="0" xr:uid="{86218217-3B07-497E-AFF1-2A842D99E105}">
      <text>
        <r>
          <rPr>
            <sz val="10"/>
            <color indexed="81"/>
            <rFont val="Verdana"/>
            <family val="2"/>
          </rPr>
          <t>Hazardous waste is material deemed hazardous under the terms of the Basel Convention Annex I, II, III, 179 and VIII.  A solid waste is any item that is transported in a skip or similar container that cannot be poured</t>
        </r>
      </text>
    </comment>
    <comment ref="B110" authorId="0" shapeId="0" xr:uid="{787AAE8A-F516-4D8F-ABFA-588D4A58489C}">
      <text>
        <r>
          <rPr>
            <sz val="10"/>
            <color indexed="81"/>
            <rFont val="Verdana"/>
            <family val="2"/>
          </rPr>
          <t>Hazardous waste is material deemed hazardous under the terms of the Basel Convention Annex I, II, III, 179 and VIII.  A liquid waste is any item that can be poured and is transported in IBC, tanker or sealed container</t>
        </r>
      </text>
    </comment>
    <comment ref="B111" authorId="0" shapeId="0" xr:uid="{FA78FCB2-6FC7-4F94-AD33-DD16054892E2}">
      <text>
        <r>
          <rPr>
            <sz val="10"/>
            <color indexed="81"/>
            <rFont val="Verdana"/>
            <family val="2"/>
          </rPr>
          <t>Non Hazardous waste is material that is not deemed hazardous under the terms of the Basel Convention Annex I, II, III, 179 and VIII.  A solid waste is any item that is transported in a skip or similar container that cannot be poured</t>
        </r>
      </text>
    </comment>
    <comment ref="B112" authorId="0" shapeId="0" xr:uid="{624B0787-01F9-4EE1-BC47-DEA00D71F57C}">
      <text>
        <r>
          <rPr>
            <sz val="10"/>
            <color indexed="81"/>
            <rFont val="Verdana"/>
            <family val="2"/>
          </rPr>
          <t>Non Hazardous waste is material not deemed hazardous under the terms of the Basel Convention Annex I, II, III, 179 and VIII.  A liquid waste is any item that can be poured and is transported in IBC, tanker or sealed container</t>
        </r>
      </text>
    </comment>
    <comment ref="B113" authorId="0" shapeId="0" xr:uid="{DB4F006C-14FC-421D-9907-E7B52146202F}">
      <text>
        <r>
          <rPr>
            <sz val="10"/>
            <color indexed="81"/>
            <rFont val="Verdana"/>
            <family val="2"/>
          </rPr>
          <t xml:space="preserve">This represents all hazardous waste that is generated and then sent offsite for treatment. Hazardous waste is material deemed hazardous under the terms of the Basel Convention Annex I, II, III, 179 and VIII.  </t>
        </r>
      </text>
    </comment>
    <comment ref="B114" authorId="0" shapeId="0" xr:uid="{85EC312B-D643-459C-A885-94943F2FCA8B}">
      <text>
        <r>
          <rPr>
            <sz val="10"/>
            <color indexed="81"/>
            <rFont val="Verdana"/>
            <family val="2"/>
          </rPr>
          <t>Waste is recorded under various classifications across JM as either hazardous or non hazardous. The total waste represents all the waste that is generated by JM operations and that is sent outside of JM for treatment or disposal.</t>
        </r>
      </text>
    </comment>
    <comment ref="B145" authorId="0" shapeId="0" xr:uid="{1DE4A1BE-2CBA-4585-8876-93D558C2F5FF}">
      <text>
        <r>
          <rPr>
            <sz val="10"/>
            <color indexed="81"/>
            <rFont val="Verdana"/>
            <family val="2"/>
          </rPr>
          <t xml:space="preserve">This is the generation of nitric oxides either through high temperature combustion processes or by the use of concentrated nitric acid in production processes. Including Nitric Oxide (NO), Nitrogen Dioxide (NO2) Dinitrogen Dioxide (N2O2) and Dinitrogen Trioxide (N2O3). </t>
        </r>
      </text>
    </comment>
    <comment ref="B146" authorId="0" shapeId="0" xr:uid="{103A23A1-B76A-4CFF-AC90-DDE2A14EE0D0}">
      <text>
        <r>
          <rPr>
            <sz val="10"/>
            <color indexed="81"/>
            <rFont val="Verdana"/>
            <family val="2"/>
          </rPr>
          <t>Usually generated from high temperature combustion involving contaminants in the fuel source. Sulphur Dioxide (SO2) is one of a group of gases called sulphur oxides (SOx). The other gases in the group are much less common in the atmosphere  e.g. SO3 and SO (Sulphur Trioxide and Sulphur Monoxide).</t>
        </r>
      </text>
    </comment>
    <comment ref="B147" authorId="0" shapeId="0" xr:uid="{92F0347C-D34D-4268-9F6F-DBE08E9994F8}">
      <text>
        <r>
          <rPr>
            <sz val="10"/>
            <color indexed="81"/>
            <rFont val="Tahoma"/>
            <family val="2"/>
          </rPr>
          <t>Volatile organic compounds/chemicals (VOCs) are a large group of organic chemicals that include any compound of carbon (excluding carbon monoxide, carbon dioxide, carbonic acid, metallic carbides or carbonates, and ammonium carbonate). Full details behind VOC can be found on technical websites such as https://www.epa.gov/indoor-air-quality-iaq/technical-overview-volatile-organic-compounds</t>
        </r>
      </text>
    </comment>
    <comment ref="B148" authorId="0" shapeId="0" xr:uid="{29FE0B95-2A28-47E1-8E25-FBC5E12774DE}">
      <text>
        <r>
          <rPr>
            <sz val="10"/>
            <color indexed="81"/>
            <rFont val="Verdana"/>
            <family val="2"/>
          </rPr>
          <t>This represents the percentage of JM operational sites reporting NOx values.</t>
        </r>
      </text>
    </comment>
    <comment ref="B149" authorId="0" shapeId="0" xr:uid="{1036AD0F-FD46-48E7-AAE0-094325A388D6}">
      <text>
        <r>
          <rPr>
            <sz val="10"/>
            <color indexed="81"/>
            <rFont val="Verdana"/>
            <family val="2"/>
          </rPr>
          <t>This represents the percentage of JM operational sites reporting SOx values.</t>
        </r>
      </text>
    </comment>
    <comment ref="B150" authorId="0" shapeId="0" xr:uid="{CE5B0161-FA42-418B-A9CC-7FE82ED10256}">
      <text>
        <r>
          <rPr>
            <sz val="10"/>
            <color indexed="81"/>
            <rFont val="Verdana"/>
            <family val="2"/>
          </rPr>
          <t>This represents the percentage of JM operational sites reporting VOCs values.</t>
        </r>
      </text>
    </comment>
    <comment ref="B153" authorId="0" shapeId="0" xr:uid="{86A61306-4B5B-4F55-AB5C-F224BB40BF33}">
      <text>
        <r>
          <rPr>
            <sz val="10"/>
            <color indexed="81"/>
            <rFont val="Verdana"/>
            <family val="2"/>
          </rPr>
          <t xml:space="preserve">Global
Weight of product sold. </t>
        </r>
      </text>
    </comment>
    <comment ref="B157" authorId="0" shapeId="0" xr:uid="{7FD64105-B10E-497E-AC80-41557A67E890}">
      <text>
        <r>
          <rPr>
            <sz val="10"/>
            <color indexed="81"/>
            <rFont val="Verdana"/>
            <family val="2"/>
          </rPr>
          <t>Significant fines during the year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Xin Ngfat</author>
  </authors>
  <commentList>
    <comment ref="B7" authorId="0" shapeId="0" xr:uid="{1C39D8EE-32E2-4A23-91CC-65A6E657D2FF}">
      <text>
        <r>
          <rPr>
            <sz val="10"/>
            <color indexed="81"/>
            <rFont val="Verdana"/>
            <family val="2"/>
          </rPr>
          <t>Total number of employees, contractors and agency staff - does not include Non Executive Board members</t>
        </r>
      </text>
    </comment>
    <comment ref="B8" authorId="0" shapeId="0" xr:uid="{19033548-F4E3-4225-B9F5-63738352521C}">
      <text>
        <r>
          <rPr>
            <sz val="10"/>
            <color indexed="81"/>
            <rFont val="Verdana"/>
            <family val="2"/>
          </rPr>
          <t xml:space="preserve">
Defined as an individual who is paid on a Johnson Matthey’s payroll and have a contract of employment
They can be further classified under the employee types of Regular, Fixed-term, Graduate, Intern, Apprentice
Permanent headcount = regular
Non permanent = Fixed term, graduate, intern and apprentice
Work is directly supervised by JM - paid via payroll</t>
        </r>
      </text>
    </comment>
    <comment ref="B9" authorId="0" shapeId="0" xr:uid="{CD1C03F4-DDC1-40EE-9EBE-5A16F4391609}">
      <text>
        <r>
          <rPr>
            <sz val="10"/>
            <color indexed="81"/>
            <rFont val="Verdana"/>
            <family val="2"/>
          </rPr>
          <t>An individual who is not on Johnson Matthey’s payroll, but performs tasks on Johnson Matthey's behalf. 
They are hired for a specific purpose and usually for a certain period of time e.g. Consultant,  Contractor, Vendor</t>
        </r>
      </text>
    </comment>
    <comment ref="B10" authorId="0" shapeId="0" xr:uid="{DBEE2674-F3EC-4941-BDAC-5B27A1518796}">
      <text>
        <r>
          <rPr>
            <sz val="10"/>
            <color indexed="81"/>
            <rFont val="Verdana"/>
            <family val="2"/>
          </rPr>
          <t>Continuously site based
Person employed by an agency performing tasks that would normally be expected to be undertaken by a JM employee.
Work is directly supervised by JM - paid directly via invoices</t>
        </r>
      </text>
    </comment>
    <comment ref="B11" authorId="0" shapeId="0" xr:uid="{092D81C2-F985-4432-9D09-80B4940F3C1B}">
      <text>
        <r>
          <rPr>
            <sz val="9"/>
            <color indexed="81"/>
            <rFont val="Tahoma"/>
            <family val="2"/>
          </rPr>
          <t>Excludes Non Executive Board members, Agency Staff and contingent workers</t>
        </r>
      </text>
    </comment>
    <comment ref="B12" authorId="0" shapeId="0" xr:uid="{79C20ACB-3FA3-4435-8FDB-812887B00F28}">
      <text>
        <r>
          <rPr>
            <sz val="9"/>
            <color indexed="81"/>
            <rFont val="Tahoma"/>
            <family val="2"/>
          </rPr>
          <t>Excludes Non Executive Board members, Agency Staff and contingent workers</t>
        </r>
      </text>
    </comment>
    <comment ref="B16" authorId="0" shapeId="0" xr:uid="{09C9F832-F087-46FB-B15B-468316F2DFA9}">
      <text>
        <r>
          <rPr>
            <sz val="10"/>
            <color indexed="81"/>
            <rFont val="Verdana"/>
            <family val="2"/>
          </rPr>
          <t xml:space="preserve">
Employee’s gender is determined based on their registered gender at birth or otherwise legally recognised gender as disclosed by the employee.</t>
        </r>
        <r>
          <rPr>
            <sz val="9"/>
            <color indexed="81"/>
            <rFont val="Tahoma"/>
            <family val="2"/>
          </rPr>
          <t xml:space="preserve">  </t>
        </r>
      </text>
    </comment>
    <comment ref="B17" authorId="0" shapeId="0" xr:uid="{ECBEE0F3-106D-418A-AC78-CC4335FC837B}">
      <text>
        <r>
          <rPr>
            <b/>
            <sz val="9"/>
            <color indexed="81"/>
            <rFont val="Tahoma"/>
            <family val="2"/>
          </rPr>
          <t xml:space="preserve">Definition:
</t>
        </r>
        <r>
          <rPr>
            <sz val="9"/>
            <color indexed="81"/>
            <rFont val="Tahoma"/>
            <family val="2"/>
          </rPr>
          <t xml:space="preserve">
Continuously site based
Contract signed directly between JM and individual and paid regular salary and other benefits by JM
Work is directly supervised by JM - paid via payroll</t>
        </r>
      </text>
    </comment>
    <comment ref="B24" authorId="0" shapeId="0" xr:uid="{E960AC9C-F5D8-42CF-A2A6-AE5A354C1F02}">
      <text>
        <r>
          <rPr>
            <b/>
            <sz val="9"/>
            <color indexed="81"/>
            <rFont val="Tahoma"/>
            <family val="2"/>
          </rPr>
          <t xml:space="preserve">Definition:
</t>
        </r>
        <r>
          <rPr>
            <sz val="9"/>
            <color indexed="81"/>
            <rFont val="Tahoma"/>
            <family val="2"/>
          </rPr>
          <t xml:space="preserve">
Continuously site based
Fixed term contract signed directly between JM and individual and paid regular salary and other benefits by JM
Work is directly supervised by JM - paid via payroll</t>
        </r>
      </text>
    </comment>
    <comment ref="B31" authorId="0" shapeId="0" xr:uid="{C5267F5F-B570-4F0B-B2CA-D9ADC294173E}">
      <text>
        <r>
          <rPr>
            <sz val="10"/>
            <color indexed="81"/>
            <rFont val="Tahoma"/>
            <family val="2"/>
          </rPr>
          <t>Excludes Non Executive Board members, Agency Staff and contractors</t>
        </r>
      </text>
    </comment>
    <comment ref="B39" authorId="0" shapeId="0" xr:uid="{37EC3CD6-79F9-449F-B74A-F90F8E102988}">
      <text>
        <r>
          <rPr>
            <sz val="9"/>
            <color indexed="81"/>
            <rFont val="Tahoma"/>
            <family val="2"/>
          </rPr>
          <t>Members of the Board</t>
        </r>
      </text>
    </comment>
    <comment ref="B40" authorId="0" shapeId="0" xr:uid="{E6069AC9-90E6-497E-A96E-7C535BFD9111}">
      <text>
        <r>
          <rPr>
            <sz val="9"/>
            <color indexed="81"/>
            <rFont val="Tahoma"/>
            <family val="2"/>
          </rPr>
          <t>JM's Group Leadership Team (GLT)</t>
        </r>
      </text>
    </comment>
    <comment ref="B41" authorId="0" shapeId="0" xr:uid="{9075B179-8EB2-4E5D-B47C-4E7D8C6761F9}">
      <text>
        <r>
          <rPr>
            <sz val="10"/>
            <color indexed="81"/>
            <rFont val="Verdana"/>
            <family val="2"/>
          </rPr>
          <t xml:space="preserve">
Individuals appointed to the boards of JM's other legal entities, other than JMPLC</t>
        </r>
      </text>
    </comment>
    <comment ref="B42" authorId="0" shapeId="0" xr:uid="{FB2439D4-B373-478F-BE78-E9783EEF6A96}">
      <text>
        <r>
          <rPr>
            <sz val="10"/>
            <color indexed="81"/>
            <rFont val="Verdana"/>
            <family val="2"/>
          </rPr>
          <t xml:space="preserve">
Within JM our senior managers are defined as direct reports of the GLT. </t>
        </r>
      </text>
    </comment>
    <comment ref="B43" authorId="0" shapeId="0" xr:uid="{AF736BFE-4BC4-451E-BE35-BF079FCA0470}">
      <text>
        <r>
          <rPr>
            <sz val="10"/>
            <color indexed="81"/>
            <rFont val="Verdana"/>
            <family val="2"/>
          </rPr>
          <t xml:space="preserve">
All employees whether they are a People manager or not at a minimum pay grade</t>
        </r>
      </text>
    </comment>
    <comment ref="B47" authorId="0" shapeId="0" xr:uid="{40928D8B-82EC-4B86-849D-F9D89BB186E2}">
      <text>
        <r>
          <rPr>
            <sz val="10"/>
            <color indexed="81"/>
            <rFont val="Verdana"/>
            <family val="2"/>
          </rPr>
          <t xml:space="preserve">
Employee’s gender is determined based on their registered gender at birth or otherwise legally recognised gender as disclosed by the employee.</t>
        </r>
        <r>
          <rPr>
            <sz val="9"/>
            <color indexed="81"/>
            <rFont val="Tahoma"/>
            <family val="2"/>
          </rPr>
          <t xml:space="preserve">  </t>
        </r>
      </text>
    </comment>
    <comment ref="B58" authorId="0" shapeId="0" xr:uid="{4B22B3E1-F7ED-41E6-B686-7B89C0C1024C}">
      <text>
        <r>
          <rPr>
            <sz val="10"/>
            <color indexed="81"/>
            <rFont val="Verdana"/>
            <family val="2"/>
          </rPr>
          <t>Excludes Board members
2022 and 2021 categories different
employees under 30 years of age
employees aged between 30-50 
employees aged over 50
Age not known for 201 employees in 2022/23
Age disclosure is voluntary</t>
        </r>
      </text>
    </comment>
    <comment ref="B62" authorId="0" shapeId="0" xr:uid="{2F3F2D6C-B0E2-40BB-8A24-8D6DEF5B1CD9}">
      <text>
        <r>
          <rPr>
            <sz val="10"/>
            <color indexed="81"/>
            <rFont val="Verdana"/>
            <family val="2"/>
          </rPr>
          <t xml:space="preserve">
Employee’s gender is determined based on their registered gender at birth or otherwise legally recognised gender as disclosed by the employee.</t>
        </r>
        <r>
          <rPr>
            <sz val="9"/>
            <color indexed="81"/>
            <rFont val="Tahoma"/>
            <family val="2"/>
          </rPr>
          <t xml:space="preserve">  </t>
        </r>
      </text>
    </comment>
    <comment ref="B63" authorId="0" shapeId="0" xr:uid="{F0DF1482-982C-4497-AC21-5524FD1A86B4}">
      <text>
        <r>
          <rPr>
            <sz val="9"/>
            <color indexed="81"/>
            <rFont val="Tahoma"/>
            <family val="2"/>
          </rPr>
          <t xml:space="preserve">
</t>
        </r>
        <r>
          <rPr>
            <sz val="10"/>
            <color indexed="81"/>
            <rFont val="Verdana"/>
            <family val="2"/>
          </rPr>
          <t>External joiners</t>
        </r>
      </text>
    </comment>
    <comment ref="B64" authorId="0" shapeId="0" xr:uid="{B4B175C2-EF9A-4695-8F7E-D2A05E0EDA4A}">
      <text>
        <r>
          <rPr>
            <sz val="9"/>
            <color indexed="81"/>
            <rFont val="Tahoma"/>
            <family val="2"/>
          </rPr>
          <t xml:space="preserve">
</t>
        </r>
        <r>
          <rPr>
            <sz val="10"/>
            <color indexed="81"/>
            <rFont val="Verdana"/>
            <family val="2"/>
          </rPr>
          <t>Resignation only</t>
        </r>
      </text>
    </comment>
    <comment ref="B65" authorId="0" shapeId="0" xr:uid="{ADAE08CA-D61F-4918-9BF3-57153CB3434C}">
      <text>
        <r>
          <rPr>
            <sz val="10"/>
            <color indexed="81"/>
            <rFont val="Verdana"/>
            <family val="2"/>
          </rPr>
          <t xml:space="preserve">
Employee turnover rate initiated by employer</t>
        </r>
      </text>
    </comment>
    <comment ref="B67" authorId="0" shapeId="0" xr:uid="{31F4A19E-CA43-4764-B655-5A2622A34485}">
      <text>
        <r>
          <rPr>
            <sz val="10"/>
            <color indexed="81"/>
            <rFont val="Verdana"/>
            <family val="2"/>
          </rPr>
          <t xml:space="preserve">
Resignation only
Number of leavers over last 12 months divided by average headcount as at data points 1 April 2022 and 31 March 2023</t>
        </r>
      </text>
    </comment>
    <comment ref="B68" authorId="0" shapeId="0" xr:uid="{190A87D6-8777-40E3-9830-477228A78CC0}">
      <text>
        <r>
          <rPr>
            <sz val="10"/>
            <color indexed="81"/>
            <rFont val="Verdana"/>
            <family val="2"/>
          </rPr>
          <t xml:space="preserve">
Employee turnover rate initiated by employer  (in 2022/23 there were 0 compulsory redundancies in JM)
Number of leavers over last 12 months divided by average headcount as at data points 1 April 2022 and 31 March 2023</t>
        </r>
      </text>
    </comment>
    <comment ref="B70" authorId="0" shapeId="0" xr:uid="{6F461C54-22DE-498B-A618-76D518B80E66}">
      <text>
        <r>
          <rPr>
            <sz val="10"/>
            <color indexed="81"/>
            <rFont val="Verdana"/>
            <family val="2"/>
          </rPr>
          <t xml:space="preserve">
Voluntary and involuntary leavers
Number of leavers over last 12 months divided by average headcount as at data points 1 April 2022 and 31 March 2023</t>
        </r>
      </text>
    </comment>
    <comment ref="B97" authorId="0" shapeId="0" xr:uid="{CBA61F0B-AFA1-4606-BD52-69DE8CBD5195}">
      <text>
        <r>
          <rPr>
            <b/>
            <sz val="9"/>
            <color indexed="81"/>
            <rFont val="Tahoma"/>
            <family val="2"/>
          </rPr>
          <t>Definition:</t>
        </r>
        <r>
          <rPr>
            <sz val="9"/>
            <color indexed="81"/>
            <rFont val="Tahoma"/>
            <family val="2"/>
          </rPr>
          <t xml:space="preserve">
A contractor worker is defined as an individual who is not on Johnson Matthey’s payroll, but performs tasks on Johnson Matthey's behalf. 
They are hired for a specific purpose and usually for a certain period of time e.g. Consultant,  Contractor, Vendor</t>
        </r>
      </text>
    </comment>
    <comment ref="B105" authorId="0" shapeId="0" xr:uid="{56C3BF1C-21E9-469A-AD2E-6E48A2166415}">
      <text>
        <r>
          <rPr>
            <b/>
            <sz val="9"/>
            <color indexed="81"/>
            <rFont val="Tahoma"/>
            <family val="2"/>
          </rPr>
          <t>Definition:</t>
        </r>
        <r>
          <rPr>
            <sz val="9"/>
            <color indexed="81"/>
            <rFont val="Tahoma"/>
            <family val="2"/>
          </rPr>
          <t xml:space="preserve">
Employee’s gender is determined based on their registered gender at birth or otherwise legally recognised gender as disclosed by the employee.  </t>
        </r>
      </text>
    </comment>
    <comment ref="B106" authorId="0" shapeId="0" xr:uid="{5FDF4A6D-46E1-451E-8A13-278B3622230D}">
      <text>
        <r>
          <rPr>
            <b/>
            <sz val="9"/>
            <color indexed="81"/>
            <rFont val="Tahoma"/>
            <family val="2"/>
          </rPr>
          <t>Definition:</t>
        </r>
        <r>
          <rPr>
            <sz val="9"/>
            <color indexed="81"/>
            <rFont val="Tahoma"/>
            <family val="2"/>
          </rPr>
          <t xml:space="preserve">
Continuously site based
Person employed by an agency performing tasks that would normally be expected to be undertaken by a JM employee.
Work is directly supervised by JM - paid directly via invoices</t>
        </r>
      </text>
    </comment>
    <comment ref="B114" authorId="0" shapeId="0" xr:uid="{A227676A-AE13-49B8-9743-FB1504A71AF7}">
      <text>
        <r>
          <rPr>
            <sz val="10"/>
            <color indexed="81"/>
            <rFont val="Verdana"/>
            <family val="2"/>
          </rPr>
          <t xml:space="preserve">
Average number of employees who were covered by a collective bargaining agreement and / or represented by a trade union</t>
        </r>
      </text>
    </comment>
    <comment ref="B123" authorId="0" shapeId="0" xr:uid="{E6CA7531-8F7C-4848-85A6-A122A9D96EE3}">
      <text>
        <r>
          <rPr>
            <sz val="10"/>
            <color indexed="81"/>
            <rFont val="Verdana"/>
            <family val="2"/>
          </rPr>
          <t xml:space="preserve">
An internal promotion happens when an internal candidate is promoted to a new position — instead of the organization hiring an external candidate. </t>
        </r>
      </text>
    </comment>
    <comment ref="B124" authorId="0" shapeId="0" xr:uid="{E666F78D-FAFC-40C9-8F06-ECAF5649B2A5}">
      <text>
        <r>
          <rPr>
            <sz val="10"/>
            <color indexed="81"/>
            <rFont val="Verdana"/>
            <family val="2"/>
          </rPr>
          <t xml:space="preserve">
Employee’s gender is determined based on their registered gender at birth or otherwise legally recognised gender as disclosed by the employee.</t>
        </r>
        <r>
          <rPr>
            <sz val="9"/>
            <color indexed="81"/>
            <rFont val="Tahoma"/>
            <family val="2"/>
          </rPr>
          <t xml:space="preserve">  </t>
        </r>
      </text>
    </comment>
    <comment ref="B140" authorId="0" shapeId="0" xr:uid="{7343B303-A080-4DD5-AF5D-BD89EB5F5A5B}">
      <text>
        <r>
          <rPr>
            <sz val="10"/>
            <color indexed="81"/>
            <rFont val="Verdana"/>
            <family val="2"/>
          </rPr>
          <t xml:space="preserve">
Employees globally receiving regular performance and career development reviews with objectives set and signed off by managers</t>
        </r>
      </text>
    </comment>
    <comment ref="B141" authorId="0" shapeId="0" xr:uid="{F30D083C-0E85-4DCC-B26F-7C4B932F4BCA}">
      <text>
        <r>
          <rPr>
            <sz val="10"/>
            <color indexed="81"/>
            <rFont val="Verdana"/>
            <family val="2"/>
          </rPr>
          <t xml:space="preserve">
Employee’s gender is determined based on their registered gender at birth or otherwise legally recognised gender as disclosed by the employee.</t>
        </r>
        <r>
          <rPr>
            <sz val="9"/>
            <color indexed="81"/>
            <rFont val="Tahoma"/>
            <family val="2"/>
          </rPr>
          <t xml:space="preserve">  </t>
        </r>
      </text>
    </comment>
    <comment ref="B151" authorId="0" shapeId="0" xr:uid="{C5D7DC76-93AE-458E-AE7A-63380D56A80A}">
      <text>
        <r>
          <rPr>
            <sz val="10"/>
            <color indexed="81"/>
            <rFont val="Verdana"/>
            <family val="2"/>
          </rPr>
          <t xml:space="preserve">
Based on employee response to yourSay survey</t>
        </r>
      </text>
    </comment>
    <comment ref="B153" authorId="0" shapeId="0" xr:uid="{84692683-66DA-48F4-A53F-921769453B8C}">
      <text>
        <r>
          <rPr>
            <sz val="10"/>
            <color indexed="81"/>
            <rFont val="Verdana"/>
            <family val="2"/>
          </rPr>
          <t xml:space="preserve">
Average score given by survey respondents in response to three engagement questions (engagement, loyalty, satisfaction) </t>
        </r>
      </text>
    </comment>
    <comment ref="B156" authorId="0" shapeId="0" xr:uid="{4B574741-AAF8-47E1-8598-BF62F751C00F}">
      <text>
        <r>
          <rPr>
            <sz val="10"/>
            <color indexed="81"/>
            <rFont val="Verdana"/>
            <family val="2"/>
          </rPr>
          <t xml:space="preserve">
Average learning hours per employee
This is calculated from data gathered from 3 of our key sites. A programme to migrate learning record management to one global system is underway. </t>
        </r>
      </text>
    </comment>
    <comment ref="B160" authorId="0" shapeId="0" xr:uid="{64C83B9F-3B0A-4113-A35C-71567F8A0F13}">
      <text>
        <r>
          <rPr>
            <sz val="10"/>
            <color indexed="81"/>
            <rFont val="Verdana"/>
            <family val="2"/>
          </rPr>
          <t>Eligible employees and contractors are offered the Code of Ethics training, subject to local laws, union agreements, long-term leave arrangements and start date before the cutoff period</t>
        </r>
      </text>
    </comment>
    <comment ref="B165" authorId="0" shapeId="0" xr:uid="{CFF6FC00-67B9-4381-B71B-771EA24EAED8}">
      <text>
        <r>
          <rPr>
            <sz val="10"/>
            <color indexed="81"/>
            <rFont val="Verdana"/>
            <family val="2"/>
          </rPr>
          <t xml:space="preserve">Only JM employees assigned Competition Law and ABAC. 
Code of Ethics to Contract Workers and JM employees. </t>
        </r>
      </text>
    </comment>
    <comment ref="B174" authorId="0" shapeId="0" xr:uid="{1CC459E1-85F9-4766-A746-9988DD318593}">
      <text>
        <r>
          <rPr>
            <sz val="10"/>
            <color indexed="81"/>
            <rFont val="Verdana"/>
            <family val="2"/>
          </rPr>
          <t xml:space="preserve">A new course for 2022/23 </t>
        </r>
      </text>
    </comment>
    <comment ref="B186" authorId="0" shapeId="0" xr:uid="{A0796F2D-4B0A-41EC-A229-D48BC908C10E}">
      <text>
        <r>
          <rPr>
            <sz val="10"/>
            <color indexed="81"/>
            <rFont val="Verdana"/>
            <family val="2"/>
          </rPr>
          <t xml:space="preserve">Launched January 2022 and available to complete until 31 December 2022
Data shown here is from 1st April 2022 to 31st December 2022 </t>
        </r>
      </text>
    </comment>
    <comment ref="B197" authorId="0" shapeId="0" xr:uid="{BD46B562-C805-485F-B201-19B11A16CD9C}">
      <text>
        <r>
          <rPr>
            <sz val="10"/>
            <color indexed="81"/>
            <rFont val="Verdana"/>
            <family val="2"/>
          </rPr>
          <t>Eligible employees and contractors are offered the Code of Ethics training, subject to local laws, union agreements, long-term leave arrangements and start date before the cutoff period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Xin Ngfat</author>
  </authors>
  <commentList>
    <comment ref="B7" authorId="0" shapeId="0" xr:uid="{7910B1E4-5035-4D02-8351-FDB929F53EEB}">
      <text>
        <r>
          <rPr>
            <b/>
            <sz val="10"/>
            <color indexed="81"/>
            <rFont val="Verdana"/>
            <family val="2"/>
          </rPr>
          <t>Definition:</t>
        </r>
        <r>
          <rPr>
            <sz val="10"/>
            <color indexed="81"/>
            <rFont val="Verdana"/>
            <family val="2"/>
          </rPr>
          <t xml:space="preserve"> 
The OSHA severity rate monitors the severity of injuries occurring at JM sites by counting all the lost days away from normal work (including restricted duties) for all personnel conducting its process activities (i.e. employees and temporary staff). The total number of injuries is multiplied by the 200,000 OSHA standardised factor and divided by the total number of hours worked (by employees and temps).</t>
        </r>
      </text>
    </comment>
    <comment ref="F7" authorId="0" shapeId="0" xr:uid="{32D55EE4-DD57-4E79-A044-7BEC59467A4C}">
      <text>
        <r>
          <rPr>
            <b/>
            <sz val="10"/>
            <color indexed="81"/>
            <rFont val="Verdana"/>
            <family val="2"/>
          </rPr>
          <t>Restatement:</t>
        </r>
        <r>
          <rPr>
            <sz val="10"/>
            <color indexed="81"/>
            <rFont val="Verdana"/>
            <family val="2"/>
          </rPr>
          <t xml:space="preserve">
restated value based on additional information received regarding injury/illness lost days and restricted days after initial 2021/022 submission.</t>
        </r>
      </text>
    </comment>
    <comment ref="B8" authorId="0" shapeId="0" xr:uid="{C592875A-ECC9-4A0A-A346-18F1E649444C}">
      <text>
        <r>
          <rPr>
            <b/>
            <sz val="9"/>
            <color indexed="81"/>
            <rFont val="Tahoma"/>
            <family val="2"/>
          </rPr>
          <t xml:space="preserve">Definition:
</t>
        </r>
        <r>
          <rPr>
            <sz val="10"/>
            <color indexed="81"/>
            <rFont val="Verdana"/>
            <family val="2"/>
          </rPr>
          <t>JM's total recordable injury and illness rate (TRIIR) is based upon the US OSHA accident reporting metric (using the OSHA 200,00 standardised multiplier), but additionally includes contractor accidents occurring whilst working on JM sites. It includes all injuries/illness requiring prescribed medical treatment or resulting in restricted/lost time.</t>
        </r>
        <r>
          <rPr>
            <sz val="9"/>
            <color indexed="81"/>
            <rFont val="Tahoma"/>
            <family val="2"/>
          </rPr>
          <t xml:space="preserve">
</t>
        </r>
      </text>
    </comment>
    <comment ref="B9" authorId="0" shapeId="0" xr:uid="{7681DB1C-BC8C-4A9E-99B0-42C68AE83CE8}">
      <text>
        <r>
          <rPr>
            <b/>
            <sz val="10"/>
            <color indexed="81"/>
            <rFont val="Verdana"/>
            <family val="2"/>
          </rPr>
          <t>Definition:</t>
        </r>
        <r>
          <rPr>
            <sz val="10"/>
            <color indexed="81"/>
            <rFont val="Verdana"/>
            <family val="2"/>
          </rPr>
          <t xml:space="preserve">
JM's lost time injury frequency rate (LTIFR) uses a 1,000,000 standardised multiplier, and additionally includes contractor accidents occurring whilst working on JM sites.</t>
        </r>
      </text>
    </comment>
    <comment ref="B10" authorId="0" shapeId="0" xr:uid="{F3D8CE6A-4232-432A-BF03-B3EA70C8EEDB}">
      <text>
        <r>
          <rPr>
            <b/>
            <sz val="10"/>
            <color indexed="81"/>
            <rFont val="Verdana"/>
            <family val="2"/>
          </rPr>
          <t>Definition:</t>
        </r>
        <r>
          <rPr>
            <sz val="10"/>
            <color indexed="81"/>
            <rFont val="Verdana"/>
            <family val="2"/>
          </rPr>
          <t xml:space="preserve">
JM's lost time injury and illness rate (LTIIR) is based upon the US OSHA accident reporting metric (using the OSHA 200,00 standardised multiplier) but additionally includes contractor accidents occurring whilst working on JM sites.</t>
        </r>
      </text>
    </comment>
    <comment ref="B19" authorId="0" shapeId="0" xr:uid="{6D78BF36-57C3-45B7-84F2-39DDF1204A6A}">
      <text>
        <r>
          <rPr>
            <b/>
            <sz val="10"/>
            <color indexed="81"/>
            <rFont val="Verdana"/>
            <family val="2"/>
          </rPr>
          <t>Definition:</t>
        </r>
        <r>
          <rPr>
            <sz val="10"/>
            <color indexed="81"/>
            <rFont val="Verdana"/>
            <family val="2"/>
          </rPr>
          <t xml:space="preserve">
Permanent employees, temporary employees and contractors</t>
        </r>
      </text>
    </comment>
    <comment ref="E19" authorId="0" shapeId="0" xr:uid="{D81F73E0-0D35-4E01-AD9A-D8BC9BECBA25}">
      <text>
        <r>
          <rPr>
            <b/>
            <sz val="10"/>
            <color indexed="81"/>
            <rFont val="Verdana"/>
            <family val="2"/>
          </rPr>
          <t>Restatement:</t>
        </r>
        <r>
          <rPr>
            <sz val="10"/>
            <color indexed="81"/>
            <rFont val="Verdana"/>
            <family val="2"/>
          </rPr>
          <t xml:space="preserve">
Restated value based on additional lost days injury/illness information received after initial submission of data for 2022 annual report.</t>
        </r>
      </text>
    </comment>
    <comment ref="B20" authorId="0" shapeId="0" xr:uid="{3E11B436-0291-4A5E-9752-207F0EE95BBF}">
      <text>
        <r>
          <rPr>
            <b/>
            <sz val="10"/>
            <color indexed="81"/>
            <rFont val="Verdana"/>
            <family val="2"/>
          </rPr>
          <t>Definition:</t>
        </r>
        <r>
          <rPr>
            <sz val="10"/>
            <color indexed="81"/>
            <rFont val="Verdana"/>
            <family val="2"/>
          </rPr>
          <t xml:space="preserve">
Employee and temporary employee injuries/hours only</t>
        </r>
      </text>
    </comment>
    <comment ref="B21" authorId="0" shapeId="0" xr:uid="{D61F1254-336B-4E28-9FD5-CE7561F0DBD2}">
      <text>
        <r>
          <rPr>
            <b/>
            <sz val="10"/>
            <color indexed="81"/>
            <rFont val="Verdana"/>
            <family val="2"/>
          </rPr>
          <t>Definition:</t>
        </r>
        <r>
          <rPr>
            <sz val="10"/>
            <color indexed="81"/>
            <rFont val="Verdana"/>
            <family val="2"/>
          </rPr>
          <t xml:space="preserve">
Contractor (all types) injuries/hours only</t>
        </r>
      </text>
    </comment>
    <comment ref="B22" authorId="0" shapeId="0" xr:uid="{32830A9D-17CA-4F66-8C3B-CF187EA84CE9}">
      <text>
        <r>
          <rPr>
            <b/>
            <sz val="10"/>
            <color indexed="81"/>
            <rFont val="Verdana"/>
            <family val="2"/>
          </rPr>
          <t>Definition:</t>
        </r>
        <r>
          <rPr>
            <sz val="10"/>
            <color indexed="81"/>
            <rFont val="Verdana"/>
            <family val="2"/>
          </rPr>
          <t xml:space="preserve">
Permanent employees, temporary employees and contractors</t>
        </r>
      </text>
    </comment>
    <comment ref="B23" authorId="0" shapeId="0" xr:uid="{E1DFB639-428D-4D86-B256-1ABCD5BCF047}">
      <text>
        <r>
          <rPr>
            <b/>
            <sz val="10"/>
            <color indexed="81"/>
            <rFont val="Verdana"/>
            <family val="2"/>
          </rPr>
          <t>Definition:</t>
        </r>
        <r>
          <rPr>
            <sz val="10"/>
            <color indexed="81"/>
            <rFont val="Verdana"/>
            <family val="2"/>
          </rPr>
          <t xml:space="preserve">
Employee and temporary employee injuries/hours only</t>
        </r>
      </text>
    </comment>
    <comment ref="B24" authorId="0" shapeId="0" xr:uid="{B3FA9340-B3BD-4720-B567-2CB2E7AB8ECF}">
      <text>
        <r>
          <rPr>
            <b/>
            <sz val="10"/>
            <color indexed="81"/>
            <rFont val="Verdana"/>
            <family val="2"/>
          </rPr>
          <t>Definition:</t>
        </r>
        <r>
          <rPr>
            <sz val="10"/>
            <color indexed="81"/>
            <rFont val="Verdana"/>
            <family val="2"/>
          </rPr>
          <t xml:space="preserve">
Contractor (all types) injuries/hours only</t>
        </r>
      </text>
    </comment>
    <comment ref="B25" authorId="0" shapeId="0" xr:uid="{61E1B901-9B41-49F2-9613-26405878D142}">
      <text>
        <r>
          <rPr>
            <b/>
            <sz val="10"/>
            <color indexed="81"/>
            <rFont val="Verdana"/>
            <family val="2"/>
          </rPr>
          <t>Definition:</t>
        </r>
        <r>
          <rPr>
            <sz val="10"/>
            <color indexed="81"/>
            <rFont val="Verdana"/>
            <family val="2"/>
          </rPr>
          <t xml:space="preserve">
JM uses the ICCA (International Council of Chemical Associations) globally harmonised process safety metric to monitor the severity of process safety events. This uses a standardised 200,000 multiplier. This process safety metric is most relevant to JM chemical operations.</t>
        </r>
      </text>
    </comment>
    <comment ref="E25" authorId="0" shapeId="0" xr:uid="{76AA5DD0-ED02-4655-B77A-762B688E212B}">
      <text>
        <r>
          <rPr>
            <b/>
            <sz val="10"/>
            <color indexed="81"/>
            <rFont val="Verdana"/>
            <family val="2"/>
          </rPr>
          <t>Restatement:</t>
        </r>
        <r>
          <rPr>
            <sz val="10"/>
            <color indexed="81"/>
            <rFont val="Verdana"/>
            <family val="2"/>
          </rPr>
          <t xml:space="preserve">
Restated value based on improved reporting of historical process safety events.</t>
        </r>
      </text>
    </comment>
    <comment ref="B26" authorId="0" shapeId="0" xr:uid="{21762049-35D4-48EC-B858-2B68940A1997}">
      <text>
        <r>
          <rPr>
            <b/>
            <sz val="10"/>
            <color indexed="81"/>
            <rFont val="Verdana"/>
            <family val="2"/>
          </rPr>
          <t>Definition:</t>
        </r>
        <r>
          <rPr>
            <sz val="10"/>
            <color indexed="81"/>
            <rFont val="Verdana"/>
            <family val="2"/>
          </rPr>
          <t xml:space="preserve">
Tier 1 process safety events involve losses of primary containment of greater consequence, which align with American Petroleum Industry (API) recommended practice (RP). </t>
        </r>
      </text>
    </comment>
    <comment ref="B27" authorId="0" shapeId="0" xr:uid="{6DFAF5DE-6079-491C-A4A3-3FF722FEC2DC}">
      <text>
        <r>
          <rPr>
            <b/>
            <sz val="10"/>
            <color indexed="81"/>
            <rFont val="Verdana"/>
            <family val="2"/>
          </rPr>
          <t>Definition:</t>
        </r>
        <r>
          <rPr>
            <sz val="10"/>
            <color indexed="81"/>
            <rFont val="Verdana"/>
            <family val="2"/>
          </rPr>
          <t xml:space="preserve">
Tier 1 process safety events rate measures the frequency events involving losses of primary containment of greater consequence, which align with American Petroleum Industry (API) recommended practice (RP). This metric is less relevant to JM chemical operations but is an important standard as it aligns with the Center for Chemical for Process Safety (CCPS), which JM's process safety management system follows. </t>
        </r>
      </text>
    </comment>
    <comment ref="B28" authorId="0" shapeId="0" xr:uid="{A6926E56-8FDA-4F32-B1C2-C4DA8634F228}">
      <text>
        <r>
          <rPr>
            <b/>
            <sz val="10"/>
            <color indexed="81"/>
            <rFont val="Verdana"/>
            <family val="2"/>
          </rPr>
          <t>Definition:</t>
        </r>
        <r>
          <rPr>
            <sz val="10"/>
            <color indexed="81"/>
            <rFont val="Verdana"/>
            <family val="2"/>
          </rPr>
          <t xml:space="preserve">
Total hours (emp+temp+cont) used for all EHS statistics</t>
        </r>
      </text>
    </comment>
    <comment ref="B32" authorId="0" shapeId="0" xr:uid="{C32151A6-56D6-41C9-B1C7-75AF4190EDF5}">
      <text>
        <r>
          <rPr>
            <b/>
            <sz val="10"/>
            <color indexed="81"/>
            <rFont val="Verdana"/>
            <family val="2"/>
          </rPr>
          <t>Definition:</t>
        </r>
        <r>
          <rPr>
            <sz val="10"/>
            <color indexed="81"/>
            <rFont val="Verdana"/>
            <family val="2"/>
          </rPr>
          <t xml:space="preserve">
Number of transport incidents as defined by SASB RT-CH-540a.2</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tc={D3D927BC-1CDB-4513-B406-DEBDB920A912}</author>
    <author>tc={4E702EDD-0DD4-4CC2-8471-CFD1D7BD8A98}</author>
  </authors>
  <commentList>
    <comment ref="F58" authorId="0" shapeId="0" xr:uid="{D3D927BC-1CDB-4513-B406-DEBDB920A912}">
      <text>
        <t>[Threaded comment]
Your version of Excel allows you to read this threaded comment; however, any edits to it will get removed if the file is opened in a newer version of Excel. Learn more: https://go.microsoft.com/fwlink/?linkid=870924
Comment:
    @Tony Malone I dunno if you have to replicate this on the "actual" tab now?</t>
      </text>
    </comment>
    <comment ref="N134" authorId="1" shapeId="0" xr:uid="{4E702EDD-0DD4-4CC2-8471-CFD1D7BD8A98}">
      <text>
        <t>[Threaded comment]
Your version of Excel allows you to read this threaded comment; however, any edits to it will get removed if the file is opened in a newer version of Excel. Learn more: https://go.microsoft.com/fwlink/?linkid=870924
Comment:
    @Tony Malone I've just subtracted and got this number, is it ok? It was zero in 2019/20?
Reply:
    @Xin Ngfat We were not recording this data at this point so we do not have a number for this indicator</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tc={88CFE28E-21D1-4056-9225-B05788A1C467}</author>
    <author>tc={C02B732B-636A-4CEB-815E-3948C14291C4}</author>
    <author>tc={02AD94CE-5BA5-4EDE-8525-A8931064BB55}</author>
    <author>tc={BEFF355C-3301-4268-899F-0446A980FBF7}</author>
    <author>tc={6E85BAEE-3492-4EDB-A49D-4F4B86EF50CB}</author>
    <author>tc={001970F9-6B2E-4346-99A5-39219D8D021B}</author>
    <author>tc={03841D26-5513-474E-A67B-CF977A8D9E33}</author>
    <author>tc={E9077630-1FCD-49E0-8638-50CEE60F698E}</author>
    <author>tc={8D7664A8-D9AB-409E-BC7A-63330965D85C}</author>
    <author>tc={24774F3C-A95F-4E42-B59F-47A22CD07DB5}</author>
    <author>tc={65C9ADAF-508A-4C6E-B538-0C965DAA136B}</author>
    <author>tc={A2CA4E63-ED3C-426E-B8D2-FEF83A215810}</author>
    <author>tc={D0DCF2E0-067B-4DB8-8039-E4686F86BC52}</author>
    <author>tc={FD15BE50-FFBA-48D5-AEB0-A413712E4AD2}</author>
    <author>tc={728C9CDD-C922-4B62-BF8F-21E63D9803F2}</author>
    <author>tc={7E8A7E52-B244-4F21-B8F8-040ABF19BEC2}</author>
  </authors>
  <commentList>
    <comment ref="B32" authorId="0" shapeId="0" xr:uid="{88CFE28E-21D1-4056-9225-B05788A1C467}">
      <text>
        <t>[Threaded comment]
Your version of Excel allows you to read this threaded comment; however, any edits to it will get removed if the file is opened in a newer version of Excel. Learn more: https://go.microsoft.com/fwlink/?linkid=870924
Comment:
    @Victoria Barlow - for your team to provide numbers once finalised. Thank you.</t>
      </text>
    </comment>
    <comment ref="D33" authorId="1" shapeId="0" xr:uid="{C02B732B-636A-4CEB-815E-3948C14291C4}">
      <text>
        <t>[Threaded comment]
Your version of Excel allows you to read this threaded comment; however, any edits to it will get removed if the file is opened in a newer version of Excel. Learn more: https://go.microsoft.com/fwlink/?linkid=870924
Comment:
    @Trevor Rouse are these numbers as at 31st March 2023 or avg numbers over the financial year?
Reply:
    As at 31st March 2023</t>
      </text>
    </comment>
    <comment ref="C34" authorId="2" shapeId="0" xr:uid="{02AD94CE-5BA5-4EDE-8525-A8931064BB55}">
      <text>
        <t>[Threaded comment]
Your version of Excel allows you to read this threaded comment; however, any edits to it will get removed if the file is opened in a newer version of Excel. Learn more: https://go.microsoft.com/fwlink/?linkid=870924
Comment:
    @Trevor Rouse do you have a definition we can use here? preferably not with GG12+ as that won't mean anything externally
Reply:
    All employees whether they are a People manager or not at a minimum pay grade</t>
      </text>
    </comment>
    <comment ref="M34" authorId="3" shapeId="0" xr:uid="{BEFF355C-3301-4268-899F-0446A980FBF7}">
      <text>
        <t>[Threaded comment]
Your version of Excel allows you to read this threaded comment; however, any edits to it will get removed if the file is opened in a newer version of Excel. Learn more: https://go.microsoft.com/fwlink/?linkid=870924
Comment:
    @Trevor Rouse please could you just confirm this number for me, make sure you are happy with the split and that this is 28% for 2022/23
Reply:
    Yes - happy with the split and the 28%</t>
      </text>
    </comment>
    <comment ref="B37" authorId="4" shapeId="0" xr:uid="{6E85BAEE-3492-4EDB-A49D-4F4B86EF50CB}">
      <text>
        <t>[Threaded comment]
Your version of Excel allows you to read this threaded comment; however, any edits to it will get removed if the file is opened in a newer version of Excel. Learn more: https://go.microsoft.com/fwlink/?linkid=870924
Comment:
    VB reviewed and confirmed 21/04/23
Reply:
    @Victoria Barlow thank you, do we have any historical data?
Reply:
    @Victoria Barlow is there any prior years data available?
Reply:
    @Holly Scott are you able to provide prior year ages?
Reply:
    @Xin Ngfat added in
Reply:
    @Victoria Barlow @Holly Scott definitely some numbers in there</t>
      </text>
    </comment>
    <comment ref="C47" authorId="5" shapeId="0" xr:uid="{001970F9-6B2E-4346-99A5-39219D8D021B}">
      <text>
        <t>[Threaded comment]
Your version of Excel allows you to read this threaded comment; however, any edits to it will get removed if the file is opened in a newer version of Excel. Learn more: https://go.microsoft.com/fwlink/?linkid=870924
Comment:
    @Trevor Rouse why is this? Age details voluntary?
Reply:
    Yes - age details voluntary</t>
      </text>
    </comment>
    <comment ref="C51" authorId="6" shapeId="0" xr:uid="{03841D26-5513-474E-A67B-CF977A8D9E33}">
      <text>
        <t>[Threaded comment]
Your version of Excel allows you to read this threaded comment; however, any edits to it will get removed if the file is opened in a newer version of Excel. Learn more: https://go.microsoft.com/fwlink/?linkid=870924
Comment:
    @Trevor Rouse
Reply:
    Employee turnover rate initiated by employer</t>
      </text>
    </comment>
    <comment ref="C53" authorId="7" shapeId="0" xr:uid="{E9077630-1FCD-49E0-8638-50CEE60F698E}">
      <text>
        <t>[Threaded comment]
Your version of Excel allows you to read this threaded comment; however, any edits to it will get removed if the file is opened in a newer version of Excel. Learn more: https://go.microsoft.com/fwlink/?linkid=870924
Comment:
    @Trevor Rouse can we put in the calculation detail please of first day, last day etc
Reply:
    @Trevor Rouse and perm employee only
Reply:
    @Xin Ngfat - think you have this now - number of leavers over last 12 months divided by average headcount say as at data points 1 April 2022 and 31 March 2023</t>
      </text>
    </comment>
    <comment ref="C54" authorId="8" shapeId="0" xr:uid="{8D7664A8-D9AB-409E-BC7A-63330965D85C}">
      <text>
        <t>[Threaded comment]
Your version of Excel allows you to read this threaded comment; however, any edits to it will get removed if the file is opened in a newer version of Excel. Learn more: https://go.microsoft.com/fwlink/?linkid=870924
Comment:
    @Trevor Rouse
Reply:
    Employee turnover rate initiated by employer</t>
      </text>
    </comment>
    <comment ref="C94" authorId="9" shapeId="0" xr:uid="{24774F3C-A95F-4E42-B59F-47A22CD07DB5}">
      <text>
        <t>[Threaded comment]
Your version of Excel allows you to read this threaded comment; however, any edits to it will get removed if the file is opened in a newer version of Excel. Learn more: https://go.microsoft.com/fwlink/?linkid=870924
Comment:
    @Trevor Rouse could you provide this excl health please - I think it's 12510 this year, any idea for historical?</t>
      </text>
    </comment>
    <comment ref="B115" authorId="10" shapeId="0" xr:uid="{65C9ADAF-508A-4C6E-B538-0C965DAA136B}">
      <text>
        <t>[Threaded comment]
Your version of Excel allows you to read this threaded comment; however, any edits to it will get removed if the file is opened in a newer version of Excel. Learn more: https://go.microsoft.com/fwlink/?linkid=870924
Comment:
    @Trevor Rouse is this something you can pull from Workday?</t>
      </text>
    </comment>
    <comment ref="B124" authorId="11" shapeId="0" xr:uid="{A2CA4E63-ED3C-426E-B8D2-FEF83A215810}">
      <text>
        <t>[Threaded comment]
Your version of Excel allows you to read this threaded comment; however, any edits to it will get removed if the file is opened in a newer version of Excel. Learn more: https://go.microsoft.com/fwlink/?linkid=870924
Comment:
    @Trevor Rouse is this something you can pull from Workday?</t>
      </text>
    </comment>
    <comment ref="B132" authorId="12" shapeId="0" xr:uid="{D0DCF2E0-067B-4DB8-8039-E4686F86BC52}">
      <text>
        <t>[Threaded comment]
Your version of Excel allows you to read this threaded comment; however, any edits to it will get removed if the file is opened in a newer version of Excel. Learn more: https://go.microsoft.com/fwlink/?linkid=870924
Comment:
    @Trevor Rouse is this something you can pull from Workday?</t>
      </text>
    </comment>
    <comment ref="B138" authorId="13" shapeId="0" xr:uid="{FD15BE50-FFBA-48D5-AEB0-A413712E4AD2}">
      <text>
        <t>[Threaded comment]
Your version of Excel allows you to read this threaded comment; however, any edits to it will get removed if the file is opened in a newer version of Excel. Learn more: https://go.microsoft.com/fwlink/?linkid=870924
Comment:
    @Trevor Rouse is this something you can pull from Workday?</t>
      </text>
    </comment>
    <comment ref="C151" authorId="14" shapeId="0" xr:uid="{728C9CDD-C922-4B62-BF8F-21E63D9803F2}">
      <text>
        <t>[Threaded comment]
Your version of Excel allows you to read this threaded comment; however, any edits to it will get removed if the file is opened in a newer version of Excel. Learn more: https://go.microsoft.com/fwlink/?linkid=870924
Comment:
    @Julie Bolam to confirm once happy with the breakdown of numbers please.
Reply:
    Only JM employees assigned Comp Law and ABAC. Code of Ethics to CW and JM . 
Reply:
    @Julie Bolam 
So Comp law and ABC to permanent employees only
Code of Ethics to perm staff and temp staff with contracts over 3 months</t>
      </text>
    </comment>
    <comment ref="C182" authorId="15" shapeId="0" xr:uid="{7E8A7E52-B244-4F21-B8F8-040ABF19BEC2}">
      <text>
        <t>[Threaded comment]
Your version of Excel allows you to read this threaded comment; however, any edits to it will get removed if the file is opened in a newer version of Excel. Learn more: https://go.microsoft.com/fwlink/?linkid=870924
Comment:
    @Julie Bolam to confirm once happy with the breakdown of numbers please.
Reply:
    Only JM employees assigned Comp Law and ABAC. Code of Ethics to CW and JM . 
Reply:
    @Julie Bolam 
So Comp law and ABC to permanent employees only
Code of Ethics to perm staff and temp staff with contracts over 3 months</t>
      </text>
    </comment>
  </commentList>
</comments>
</file>

<file path=xl/sharedStrings.xml><?xml version="1.0" encoding="utf-8"?>
<sst xmlns="http://schemas.openxmlformats.org/spreadsheetml/2006/main" count="2761" uniqueCount="1191">
  <si>
    <t>About this workbook</t>
  </si>
  <si>
    <t>Reporting on Greenhouse Gas (GHG) Emissions</t>
  </si>
  <si>
    <t>Notes on data</t>
  </si>
  <si>
    <t>The data presented in this workbook relates to Johnson Matthey's financial reporting year (1 April 2022 to 31 March 2023), unless otherwise stated.</t>
  </si>
  <si>
    <t>This workbook has been prepared in accordance with the GRI Standards.</t>
  </si>
  <si>
    <t>Externally audited KPIs</t>
  </si>
  <si>
    <t>Cautionary Statement</t>
  </si>
  <si>
    <t>Contents</t>
  </si>
  <si>
    <t>GRI Content Index in accordance</t>
  </si>
  <si>
    <t>SASB Index</t>
  </si>
  <si>
    <t>TCFD Compliance Table</t>
  </si>
  <si>
    <t>PAI Statement</t>
  </si>
  <si>
    <t>ERM CVS Audited metrics</t>
  </si>
  <si>
    <t>Strategy</t>
  </si>
  <si>
    <t>Health and Safety</t>
  </si>
  <si>
    <t>People</t>
  </si>
  <si>
    <t>Ethics and Compliance</t>
  </si>
  <si>
    <t>Community Investment</t>
  </si>
  <si>
    <t>Responsible Sourcing</t>
  </si>
  <si>
    <t>GRI content index</t>
  </si>
  <si>
    <t>Statement of use</t>
  </si>
  <si>
    <t>Johnson Matthey has reported in accordance with the GRI Standards for the period 1st April 2022 to 31st March 2023.</t>
  </si>
  <si>
    <t>GRI 1 used</t>
  </si>
  <si>
    <t>GRI 1: Foundation 2021</t>
  </si>
  <si>
    <t>Applicable GRI Sector Standard(s)</t>
  </si>
  <si>
    <t>N/A</t>
  </si>
  <si>
    <t>Key to location references:</t>
  </si>
  <si>
    <t>ARA = Annual Report and Accounts 2023</t>
  </si>
  <si>
    <t xml:space="preserve">SPD = Sustainability Performance Databook 2023 </t>
  </si>
  <si>
    <t>General disclosures</t>
  </si>
  <si>
    <t>2-1 Organizational details</t>
  </si>
  <si>
    <t>2-2 Entities included in the organization’s sustainability reporting</t>
  </si>
  <si>
    <t>2-3 Reporting period, frequency and contact point</t>
  </si>
  <si>
    <t>2-4 Restatements of information</t>
  </si>
  <si>
    <t>2-5 External assurance</t>
  </si>
  <si>
    <t>2-6 Activities, value chain and other business relationships</t>
  </si>
  <si>
    <t>2-7 Employees</t>
  </si>
  <si>
    <t>2-8 Workers who are not employees</t>
  </si>
  <si>
    <t>SPD People tab</t>
  </si>
  <si>
    <t>2-9 Governance structure and composition</t>
  </si>
  <si>
    <t>2-10 Nomination and selection of the highest governance body</t>
  </si>
  <si>
    <t>2-11 Chair of the highest governance body</t>
  </si>
  <si>
    <t>2-12 Role of the highest governance body in overseeing the management of impacts</t>
  </si>
  <si>
    <t>2-13 Delegation of responsibility for managing impacts</t>
  </si>
  <si>
    <t>2-14 Role of the highest governance body in sustainability reporting</t>
  </si>
  <si>
    <t>2-15 Conflicts of interest</t>
  </si>
  <si>
    <t>2-16 Communication of critical concerns</t>
  </si>
  <si>
    <t>2-17 Collective knowledge of the highest governance body</t>
  </si>
  <si>
    <t>2-18 Evaluation of the performance of the highest governance body</t>
  </si>
  <si>
    <t>2-19 Remuneration policies</t>
  </si>
  <si>
    <t>2-20 Process to determine remuneration</t>
  </si>
  <si>
    <t>2-21 Annual total compensation ratio</t>
  </si>
  <si>
    <t>2-22 Statement on sustainable development strategy</t>
  </si>
  <si>
    <t>ARA p.4</t>
  </si>
  <si>
    <t>2-23 Policy commitments</t>
  </si>
  <si>
    <t>2-24 Embedding policy commitments</t>
  </si>
  <si>
    <t>2-25 Processes to remediate negative impacts</t>
  </si>
  <si>
    <t>2-26 Mechanisms for seeking advice and raising concerns</t>
  </si>
  <si>
    <t>ARA p.41</t>
  </si>
  <si>
    <t>2-27 Compliance with laws and regulations</t>
  </si>
  <si>
    <t>ARA p.30, 
SPD Environment tab</t>
  </si>
  <si>
    <t>2-28 Membership associations</t>
  </si>
  <si>
    <t>2-29 Approach to stakeholder engagement</t>
  </si>
  <si>
    <t>2-30 Collective bargaining agreements</t>
  </si>
  <si>
    <t>ARA p.37, 
SPD People tab</t>
  </si>
  <si>
    <t>Material topics</t>
  </si>
  <si>
    <t>GRI 3: Material Topics 2021</t>
  </si>
  <si>
    <t>3-1 Process to determine material topics</t>
  </si>
  <si>
    <t>ARA p.23</t>
  </si>
  <si>
    <t>3-2 List of material topics</t>
  </si>
  <si>
    <t>Anti-corruption</t>
  </si>
  <si>
    <t>3-3 Management of material topics</t>
  </si>
  <si>
    <t>GRI 205: Anti-corruption 2016</t>
  </si>
  <si>
    <t>205-1 Operations assessed for risks related to corruption</t>
  </si>
  <si>
    <t>205-2 Communication and training about anti-corruption policies and procedures</t>
  </si>
  <si>
    <t>205-3 Confirmed incidents of corruption and actions taken</t>
  </si>
  <si>
    <t>Materials</t>
  </si>
  <si>
    <t>ARA p.23-43</t>
  </si>
  <si>
    <t>GRI 301: Materials 2016</t>
  </si>
  <si>
    <t>301-1 Materials used by weight or volume</t>
  </si>
  <si>
    <t>ARA p.29-30</t>
  </si>
  <si>
    <t>301-2 Recycled input materials used</t>
  </si>
  <si>
    <t>301-3 Reclaimed products and their packaging materials</t>
  </si>
  <si>
    <t>Energy</t>
  </si>
  <si>
    <t>GRI 302: Energy 2016</t>
  </si>
  <si>
    <t>302-1 Energy consumption within the organization</t>
  </si>
  <si>
    <t>ARA p.26-28
SPD Environment tab</t>
  </si>
  <si>
    <t>302-2 Energy consumption outside of the organization</t>
  </si>
  <si>
    <t>302-3 Energy intensity</t>
  </si>
  <si>
    <t>302-4 Reduction of energy consumption</t>
  </si>
  <si>
    <t>302-5 Reductions in energy requirements of products and services</t>
  </si>
  <si>
    <t>Water and effluents</t>
  </si>
  <si>
    <t>GRI 303: Water and Effluents 2018</t>
  </si>
  <si>
    <t>303-1 Interactions with water as a shared resource</t>
  </si>
  <si>
    <t>ARA p.29-31
SPD Environment tab</t>
  </si>
  <si>
    <t>303-2 Management of water discharge-related impacts</t>
  </si>
  <si>
    <t>303-3 Water withdrawal</t>
  </si>
  <si>
    <t>303-4 Water discharge</t>
  </si>
  <si>
    <t>303-5 Water consumption</t>
  </si>
  <si>
    <t>Emissions</t>
  </si>
  <si>
    <t>GRI 305: Emissions 2016</t>
  </si>
  <si>
    <t>305-1 Direct (Scope 1) GHG emissions</t>
  </si>
  <si>
    <t>ARA p.27-28 
SPD Environment tab</t>
  </si>
  <si>
    <t>305-2 Energy indirect (Scope 2) GHG emissions</t>
  </si>
  <si>
    <t>305-3 Other indirect (Scope 3) GHG emissions</t>
  </si>
  <si>
    <t>305-4 GHG emissions intensity</t>
  </si>
  <si>
    <t>ARA p.28 
SPD Environment tab</t>
  </si>
  <si>
    <t>305-5 Reduction of GHG emissions</t>
  </si>
  <si>
    <t>305-6 Emissions of ozone-depleting substances (ODS)</t>
  </si>
  <si>
    <t>305-7 Nitrogen oxides (NOx), sulfur oxides (SOx), and other significant air emissions</t>
  </si>
  <si>
    <t>Waste</t>
  </si>
  <si>
    <t>GRI 306: Waste 2020</t>
  </si>
  <si>
    <t>306-1 Waste generation and significant waste-related impacts</t>
  </si>
  <si>
    <t>306-2 Management of significant waste-related impacts</t>
  </si>
  <si>
    <t>306-3 Waste generated</t>
  </si>
  <si>
    <t>306-4 Waste diverted from disposal</t>
  </si>
  <si>
    <t>306-5 Waste directed to disposal</t>
  </si>
  <si>
    <t>Supplier environmental assessment</t>
  </si>
  <si>
    <t>GRI 308: Supplier Environmental Assessment 2016</t>
  </si>
  <si>
    <t>308-1 New suppliers that were screened using environmental criteria</t>
  </si>
  <si>
    <t>308-2 Negative environmental impacts in the supply chain and actions taken</t>
  </si>
  <si>
    <t>Employment</t>
  </si>
  <si>
    <t>GRI 401: Employment 2016</t>
  </si>
  <si>
    <t>401-1 New employee hires and employee turnover</t>
  </si>
  <si>
    <t>401-2 Benefits provided to full-time employees that are not provided to temporary or part-time employees</t>
  </si>
  <si>
    <t>401-3 Parental leave</t>
  </si>
  <si>
    <t>Occupational health and safety</t>
  </si>
  <si>
    <t>GRI 403: Occupational Health and Safety 2018</t>
  </si>
  <si>
    <t>403-1 Occupational health and safety management system</t>
  </si>
  <si>
    <t>403-2 Hazard identification, risk assessment, and incident investigation</t>
  </si>
  <si>
    <t>403-3 Occupational health services</t>
  </si>
  <si>
    <t>403-4 Worker participation, consultation, and communication on occupational health and safety</t>
  </si>
  <si>
    <t>403-5 Worker training on occupational health and safety</t>
  </si>
  <si>
    <t>403-6 Promotion of worker health</t>
  </si>
  <si>
    <t>403-7 Prevention and mitigation of occupational health and safety impacts directly linked by business relationships</t>
  </si>
  <si>
    <t>403-8 Workers covered by an occupational health and safety management system</t>
  </si>
  <si>
    <t>403-9 Work-related injuries</t>
  </si>
  <si>
    <t>SPD Health and Safety tab</t>
  </si>
  <si>
    <t>403-10 Work-related ill health</t>
  </si>
  <si>
    <t>Training and education</t>
  </si>
  <si>
    <t>GRI 404: Training and Education 2016</t>
  </si>
  <si>
    <t>404-1 Average hours of training per year per employee</t>
  </si>
  <si>
    <t>404-2 Programs for upgrading employee skills and transition assistance programs</t>
  </si>
  <si>
    <t>ARA p.34-40</t>
  </si>
  <si>
    <t>404-3 Percentage of employees receiving regular performance and career development reviews</t>
  </si>
  <si>
    <t>Diversity and equal opportunity</t>
  </si>
  <si>
    <t>GRI 405: Diversity and Equal Opportunity 2016</t>
  </si>
  <si>
    <t>405-1 Diversity of governance bodies and employees</t>
  </si>
  <si>
    <t>ARA p.35-37
SPD People tab</t>
  </si>
  <si>
    <t>405-2 Ratio of basic salary and remuneration of women to men</t>
  </si>
  <si>
    <t>Non-discrimination</t>
  </si>
  <si>
    <t>GRI 406: Non-discrimination 2016</t>
  </si>
  <si>
    <t>406-1 Incidents of discrimination and corrective actions taken</t>
  </si>
  <si>
    <t>ARA p.41
SPD Ethics and compliance</t>
  </si>
  <si>
    <t>Freedom of association and collective bargaining</t>
  </si>
  <si>
    <t>GRI 407: Freedom of Association and Collective Bargaining 2016</t>
  </si>
  <si>
    <t>407-1 Operations and suppliers in which the right to freedom of association and collective bargaining may be at risk</t>
  </si>
  <si>
    <t>Child labor</t>
  </si>
  <si>
    <t>GRI 408: Child Labor 2016</t>
  </si>
  <si>
    <t>408-1 Operations and suppliers at significant risk for incidents of child labor</t>
  </si>
  <si>
    <t>GRI 409: Forced or Compulsory Labor 2016</t>
  </si>
  <si>
    <t>409-1 Operations and suppliers at significant risk for incidents of forced or compulsory labor</t>
  </si>
  <si>
    <t>Security practices</t>
  </si>
  <si>
    <t>GRI 410: Security Practices 2016</t>
  </si>
  <si>
    <t>410-1 Security personnel trained in human rights policies or procedures</t>
  </si>
  <si>
    <t>Local communities</t>
  </si>
  <si>
    <t>ARA p.23-34</t>
  </si>
  <si>
    <t>GRI 413: Local Communities 2016</t>
  </si>
  <si>
    <t>413-1 Operations with local community engagement, impact assessments, and development programs</t>
  </si>
  <si>
    <t>413-2 Operations with significant actual and potential negative impacts on local communities</t>
  </si>
  <si>
    <t>ARA p.81</t>
  </si>
  <si>
    <t>Supplier social assessment</t>
  </si>
  <si>
    <t>GRI 414: Supplier Social Assessment 2016</t>
  </si>
  <si>
    <t>414-1 New suppliers that were screened using social criteria</t>
  </si>
  <si>
    <t>414-2 Negative social impacts in the supply chain and actions taken</t>
  </si>
  <si>
    <t>Public policy</t>
  </si>
  <si>
    <t>GRI 415: Public Policy 2016</t>
  </si>
  <si>
    <t>415-1 Political contributions</t>
  </si>
  <si>
    <t>Customer health and safety</t>
  </si>
  <si>
    <t>GRI 416: Customer Health and Safety 2016</t>
  </si>
  <si>
    <t>416-1 Assessment of the health and safety impacts of product and service categories</t>
  </si>
  <si>
    <t>416-2 Incidents of non-compliance concerning the health and safety impacts of products and services</t>
  </si>
  <si>
    <t>Marketing and labeling</t>
  </si>
  <si>
    <t>GRI 417: Marketing and Labeling 2016</t>
  </si>
  <si>
    <t>417-1 Requirements for product and service information and labeling</t>
  </si>
  <si>
    <t>417-2 Incidents of non-compliance concerning product and service information and labeling</t>
  </si>
  <si>
    <t>417-3 Incidents of non-compliance concerning marketing communications</t>
  </si>
  <si>
    <t>Customer privacy</t>
  </si>
  <si>
    <t>GRI 418: Customer Privacy 2016</t>
  </si>
  <si>
    <t>418-1 Substantiated complaints concerning breaches of customer privacy and losses of customer data</t>
  </si>
  <si>
    <t>[Title of GRI Sector Standard]</t>
  </si>
  <si>
    <t>[Topic]</t>
  </si>
  <si>
    <t>[Explanation]</t>
  </si>
  <si>
    <t>Rights of indigenous peoples</t>
  </si>
  <si>
    <t>GRI 411: Rights of Indigenous Peoples 2016</t>
  </si>
  <si>
    <t>411-1 Incidents of violations involving rights of indigenous peoples</t>
  </si>
  <si>
    <t>Labor/management relations</t>
  </si>
  <si>
    <t>GRI 402: Labor/Management Relations 2016</t>
  </si>
  <si>
    <t>402-1 Minimum notice periods regarding operational changes</t>
  </si>
  <si>
    <t>???</t>
  </si>
  <si>
    <t>Biodiversity</t>
  </si>
  <si>
    <t>GRI 304: Biodiversity 2016</t>
  </si>
  <si>
    <t>304-1 Operational sites owned, leased, managed in, or adjacent to, protected areas and areas of high biodiversity value outside protected areas</t>
  </si>
  <si>
    <t>??</t>
  </si>
  <si>
    <t>304-2 Significant impacts of activities, products and services on biodiversity</t>
  </si>
  <si>
    <t>304-3 Habitats protected or restored</t>
  </si>
  <si>
    <t>304-4 IUCN Red List species and national conservation list species with habitats in areas affected by operations</t>
  </si>
  <si>
    <t>Economic performance</t>
  </si>
  <si>
    <t>GRI 201: Economic Performance 2016</t>
  </si>
  <si>
    <t>201-1 Direct economic value generated and distributed</t>
  </si>
  <si>
    <t>201-2 Financial implications and other risks and opportunities due to climate change</t>
  </si>
  <si>
    <t>201-3 Defined benefit plan obligations and other retirement plans</t>
  </si>
  <si>
    <t>201-4 Financial assistance received from government</t>
  </si>
  <si>
    <t>Market presence</t>
  </si>
  <si>
    <t>ARA p.23-24, 36-37</t>
  </si>
  <si>
    <t>GRI 202: Market Presence 2016</t>
  </si>
  <si>
    <t>202-1 Ratios of standard entry level wage by gender compared to local minimum wage</t>
  </si>
  <si>
    <t>202-2 Proportion of senior management hired from the local community</t>
  </si>
  <si>
    <t>Indirect economic impacts</t>
  </si>
  <si>
    <t>GRI 203: Indirect Economic Impacts 2016</t>
  </si>
  <si>
    <t>203-1 Infrastructure investments and services supported</t>
  </si>
  <si>
    <t>203-2 Significant indirect economic impacts</t>
  </si>
  <si>
    <t>Procurement practices</t>
  </si>
  <si>
    <t>GRI 204: Procurement Practices 2016</t>
  </si>
  <si>
    <t>204-1 Proportion of spending on local suppliers</t>
  </si>
  <si>
    <t>Tax</t>
  </si>
  <si>
    <t>GRI 207: Tax 2019</t>
  </si>
  <si>
    <t>207-1 Approach to tax</t>
  </si>
  <si>
    <t>207-2 Tax governance, control, and risk management</t>
  </si>
  <si>
    <t>207-3 Stakeholder engagement and management of concerns related to tax</t>
  </si>
  <si>
    <t>207-4 Country-by-country reporting</t>
  </si>
  <si>
    <t>Anti-competitive behavior</t>
  </si>
  <si>
    <t>GRI 206: Anti-competitive Behavior 2016</t>
  </si>
  <si>
    <t>206-1 Legal actions for anti-competitive behavior, anti-trust, and monopoly practices</t>
  </si>
  <si>
    <t>Topic</t>
  </si>
  <si>
    <t>Accounting Metric</t>
  </si>
  <si>
    <t xml:space="preserve">SASB Code </t>
  </si>
  <si>
    <t>Location</t>
  </si>
  <si>
    <t>Greenhouse gas emissions</t>
  </si>
  <si>
    <t>Gross global Scope 1 emissions, percentage covered under emissions-limiting regulations</t>
  </si>
  <si>
    <t>RT-CH-110a.1</t>
  </si>
  <si>
    <t>ARA p.28
SPD Environment tab</t>
  </si>
  <si>
    <t>Discussion of long term and short term strategy or plan to manage Scope 1 emissions, emissions reduction targets, and an analysis of performance against those targets</t>
  </si>
  <si>
    <t>RT-CH-110a.2</t>
  </si>
  <si>
    <t>ARA p.24,26</t>
  </si>
  <si>
    <t>Air quality</t>
  </si>
  <si>
    <t>Air emissions of the following pollutants: (1) NOX (excluding N2 O), (2) SOX, (3) volatile organic compounds (VOCs), and (4) hazardous air pollutants (HAPs)</t>
  </si>
  <si>
    <t>RT-CH-120a.1</t>
  </si>
  <si>
    <t>ARA p.31
SPD Environment tab</t>
  </si>
  <si>
    <t>Energy management</t>
  </si>
  <si>
    <t>RT-CH-130a.1</t>
  </si>
  <si>
    <t>Water management</t>
  </si>
  <si>
    <t>1) Total water withdrawn, (2) total water consumed, percentage of each in regions with High or Extremely High Baseline Water Stress</t>
  </si>
  <si>
    <t>RT-CH-140a.1</t>
  </si>
  <si>
    <t>Number of incidents of non-compliance associated with water quality permits, standards, and regulations</t>
  </si>
  <si>
    <t>RT-CH-140a.2</t>
  </si>
  <si>
    <t>ARA p.30-31
SPD Environment tab</t>
  </si>
  <si>
    <t>Description of water management risks and discussion of strategies and practices to mitigate those risks</t>
  </si>
  <si>
    <t>RT-CH-140a.3</t>
  </si>
  <si>
    <t>Hazardous waste management</t>
  </si>
  <si>
    <t>RT-CH-150a.1</t>
  </si>
  <si>
    <t>Community relations</t>
  </si>
  <si>
    <t>Discussion of engagement processes to manage risks and opportunities associated with community interests</t>
  </si>
  <si>
    <t>RT-CH-210a.1</t>
  </si>
  <si>
    <t>Workforce health and safety</t>
  </si>
  <si>
    <t>1) Total recordable incident rate (TRIR) and (2) fatality rate for (a) direct employees and (b) contract employees</t>
  </si>
  <si>
    <t>RT-CH-320a.1</t>
  </si>
  <si>
    <t>Description of efforts to assess, monitor, and reduce exposure of employees and contract workers to long-term (chronic) health risks</t>
  </si>
  <si>
    <t>RT-CH-320a.2</t>
  </si>
  <si>
    <t>ARA p.32-34</t>
  </si>
  <si>
    <t>Product design for use-phase efficiency</t>
  </si>
  <si>
    <t>Revenue from products designed for use phase resource efficiency</t>
  </si>
  <si>
    <t>RT-CH-410a.1</t>
  </si>
  <si>
    <t>Safety and environmental stewardship of chemicals</t>
  </si>
  <si>
    <t>(1) Percentage of products that contain Globally Harmonized System of Classification and Labelling of Chemicals (GHS) Category 1 and 2 Health and Environmental Hazardous Substances, (2) percentage of such products that have undergone a hazard assessment</t>
  </si>
  <si>
    <t>RT-CH-410b.1</t>
  </si>
  <si>
    <t>Discussion of strategy to (1) manage chemicals of concern and (2) develop alternatives with reduced human and/or environmental impact</t>
  </si>
  <si>
    <t>RT-CH-410b.2</t>
  </si>
  <si>
    <t>Genetically modified organisms</t>
  </si>
  <si>
    <t>Percentage of products by revenue that contain genetically modified organisms (GMOs)</t>
  </si>
  <si>
    <t>RT-CH-410c.1</t>
  </si>
  <si>
    <t>Management of the legal and regulatory environment</t>
  </si>
  <si>
    <t>Discussion of corporate positions related to government regulations and/or policy proposals that address environmental and social factors affecting the industry</t>
  </si>
  <si>
    <t>RT-CH-530a.1</t>
  </si>
  <si>
    <t>Operational safety, emergency preparedness and response</t>
  </si>
  <si>
    <t>RT-CH-540a.1</t>
  </si>
  <si>
    <t>RT-CH-540a.2</t>
  </si>
  <si>
    <t>Activity metrics</t>
  </si>
  <si>
    <t>RT-CH-000.A</t>
  </si>
  <si>
    <r>
      <t xml:space="preserve">1 Note to </t>
    </r>
    <r>
      <rPr>
        <b/>
        <sz val="8"/>
        <color theme="1"/>
        <rFont val="Verdana"/>
        <family val="2"/>
      </rPr>
      <t>RT-CH-130a.1</t>
    </r>
    <r>
      <rPr>
        <sz val="8"/>
        <color theme="1"/>
        <rFont val="Verdana"/>
        <family val="2"/>
      </rPr>
      <t xml:space="preserve"> – The entity shall discuss its efforts to reduce energy consumption and / or improve energy efficiency throughout the production processes.</t>
    </r>
  </si>
  <si>
    <r>
      <t xml:space="preserve">2 Note to </t>
    </r>
    <r>
      <rPr>
        <b/>
        <sz val="8"/>
        <color theme="1"/>
        <rFont val="Verdana"/>
        <family val="2"/>
      </rPr>
      <t>RT-CH-150a.1</t>
    </r>
    <r>
      <rPr>
        <sz val="8"/>
        <color theme="1"/>
        <rFont val="Verdana"/>
        <family val="2"/>
      </rPr>
      <t xml:space="preserve"> – The entity shall disclose the legal or regulatory framework(s) used to define hazardous waste and recycled hazardous waste, and the amounts of waste defined in accordance with each applicable framework.</t>
    </r>
  </si>
  <si>
    <r>
      <t xml:space="preserve">3 Note to </t>
    </r>
    <r>
      <rPr>
        <b/>
        <sz val="8"/>
        <color theme="1"/>
        <rFont val="Verdana"/>
        <family val="2"/>
      </rPr>
      <t>RT-CH-540a.1</t>
    </r>
    <r>
      <rPr>
        <sz val="8"/>
        <color theme="1"/>
        <rFont val="Verdana"/>
        <family val="2"/>
      </rPr>
      <t xml:space="preserve"> – The entity shall describe incidents with a severity rating of 1 or 2, including their root cause, outcomes, and corrective actions implemented in response.</t>
    </r>
  </si>
  <si>
    <r>
      <t xml:space="preserve">4 Note to </t>
    </r>
    <r>
      <rPr>
        <b/>
        <sz val="8"/>
        <color theme="1"/>
        <rFont val="Verdana"/>
        <family val="2"/>
      </rPr>
      <t>RT-CH-540a.2</t>
    </r>
    <r>
      <rPr>
        <sz val="8"/>
        <color theme="1"/>
        <rFont val="Verdana"/>
        <family val="2"/>
      </rPr>
      <t xml:space="preserve"> – The entity shall describe significant transport incidents, including their root causes, outcomes, and corrective actions implemented in response.</t>
    </r>
  </si>
  <si>
    <r>
      <t xml:space="preserve">5 Note to </t>
    </r>
    <r>
      <rPr>
        <b/>
        <sz val="8"/>
        <color theme="1"/>
        <rFont val="Verdana"/>
        <family val="2"/>
      </rPr>
      <t>RT-CH-000.A</t>
    </r>
    <r>
      <rPr>
        <sz val="8"/>
        <color theme="1"/>
        <rFont val="Verdana"/>
        <family val="2"/>
      </rPr>
      <t xml:space="preserve"> – Production should be disclosed for each of the entity’s reportable segments, where products and service segments are determined according to FASB ASC 280-10 and production is reported as weight for solid products and volume for liquid and gas products.</t>
    </r>
  </si>
  <si>
    <t>Johnson Matthey complies with the TCFD disclosure recommendations fully within the Annual Report and Accounts.</t>
  </si>
  <si>
    <t>Recommendation</t>
  </si>
  <si>
    <t>Recommended Disclosure</t>
  </si>
  <si>
    <t>Governance</t>
  </si>
  <si>
    <t>a.) Describe the board’s oversight of climate-related risks and opportunities</t>
  </si>
  <si>
    <t>ARA p.45-46</t>
  </si>
  <si>
    <t>b.) Describe management’s role in assessing and managing climate-related risks and opportunities.</t>
  </si>
  <si>
    <t>a.) Describe the climate-related risks and opportunities the company has identified over the short, medium and long term.</t>
  </si>
  <si>
    <t>b.) Describe the impact of climate-related risks and opportunities on the company’s businesses, strategy, and financial planning.</t>
  </si>
  <si>
    <t>Risk management</t>
  </si>
  <si>
    <t>a.) Describe the company’s processes for identifying and assessing climate-related risks</t>
  </si>
  <si>
    <t>b.) Describe the company’s processes for managing climate-related risks</t>
  </si>
  <si>
    <t>c.) Describe how processes for identifying, assessing, and managing climate-related risks are integrated into the company’s overall risk management</t>
  </si>
  <si>
    <t>Metrics &amp; targets</t>
  </si>
  <si>
    <t>a.) Disclose the metrics used by the company to assess climate-related risks and opportunities in line with its strategy and risk management process.</t>
  </si>
  <si>
    <t>ARA p.52</t>
  </si>
  <si>
    <t>b.) Disclose Scope 1, Scope 2, and if appropriate Scope 3 greenhouse gas (GHG) emissions, and the related risks</t>
  </si>
  <si>
    <t>c.) Describe the targets used by the company to manage climate-related risks and opportunities and performance against targets</t>
  </si>
  <si>
    <t>Principle Adverse Impact (PAI) Statement</t>
  </si>
  <si>
    <t>Category</t>
  </si>
  <si>
    <t>JM Response</t>
  </si>
  <si>
    <t>GHG emissions</t>
  </si>
  <si>
    <t>Formula in regulation is clear so issuers should use this as a reference
Providing at company level and framework level for green bonds is useful</t>
  </si>
  <si>
    <t>Carbon footprint</t>
  </si>
  <si>
    <t xml:space="preserve">Company revenue is normally easily accesible but providng in a centralised place is helpful (and ensuring scope is the same as for the emissions referenced) </t>
  </si>
  <si>
    <t xml:space="preserve">Exposure to companies active in the fossil fuel sector </t>
  </si>
  <si>
    <t>‘companies active in the fossil fuel sector’ means companies that derive any revenues from exploration, mining, extraction, production, processing, storage, refining or distribution, including transportation, storage and trade, of fossil fuels as defined in Article 2, point (62), of Regulation (EU) 2018/1999 of the European Parliament and of the Council</t>
  </si>
  <si>
    <t xml:space="preserve">Investor has their own interpretation of what is considered a fossil fuel company. Mainly they want to consider those with direct links to fossil fuel companies. E.g. for a chemical company they would want to look at the client base of the company and see what the products are being used for. Essentially, for now, its a case by case assessment. </t>
  </si>
  <si>
    <t>Share of non-renewable energy consumption and production</t>
  </si>
  <si>
    <t>renewable energy sources’ means renewable non-fossil sources, namely wind, solar (solar thermal and solar photovoltaic) and geothermal energy, ambient energy, tide, wave and other ocean energy, hydropower, biomass, landfill gas, sewage treatment plant gas, and biogas.
'Non-renewable energy sources’ means energy sources other than those referred to above</t>
  </si>
  <si>
    <t>They currently only look at this metric for producers (not consumption of companies that don’t produce energy). Most companies do provide data on energy mix though so they may include energy consumers also at some point</t>
  </si>
  <si>
    <t xml:space="preserve">Energy consumption intensity per high impact climate sector </t>
  </si>
  <si>
    <t>energy consumption intensity’ means the ratio of energy consumption per unit of activity, output or any other metric of the investee company to the total energy consumption of that investee company
‘high impact climate sectors’ means the sectors listed in Sections A to H and Section L of Annex I to Regulation (EC) No 1893/2006 of the European Parliament and of the Council</t>
  </si>
  <si>
    <t>For companies involved in multiple activities, it would be good if companies could also provide split reporting by activity (as they need to report on each different sector).</t>
  </si>
  <si>
    <t>Activities negatively affecting biodiversity sensitive areas</t>
  </si>
  <si>
    <t>Companies could state whether they have sites / operations near biodoversity sensitive areas or whether operations affect these areas. For now the data isnt there so they look at biodiversity controversies</t>
  </si>
  <si>
    <t>Water</t>
  </si>
  <si>
    <t>Emissions to water</t>
  </si>
  <si>
    <t>Emissions to water means direct emissions of priority substances as defined in Article 2(30) of the Water Framework Directive 2000/60/EC of the European Parliament and of the Council (as amended by directive 2013/39/EU )and direct emissions of nitrates, phosphates and pesticides to water.</t>
  </si>
  <si>
    <t>This information is often not there, even for water companies. Sometimes they look at leakage rate or controversies as a substitute.</t>
  </si>
  <si>
    <t>Hazardous waste and radioactive waste ratio</t>
  </si>
  <si>
    <t>‘hazardous waste’ means hazardous waste as defined in Article 3(2) of Directive 2008/98/EC of the European Parliament and of the Council; ‘radioactive waste’ means radioactive waste as defined in Article 3(7) of Council Directive 2011/70/Euratom</t>
  </si>
  <si>
    <t>Can look at controversies as a substitute. Again helpful if companies can explicitely state if this isnt relevant</t>
  </si>
  <si>
    <t>Social and employee matters</t>
  </si>
  <si>
    <t>Violations of UN Global Compact principles and Organisation for Economic Cooperation and Development (OECD) Guidelines for Multinational Enterprises</t>
  </si>
  <si>
    <t>Formal violations of UNGC is difficult to assess. If data providers put an issuer on the UNGC watchlist (e.g. Sustainalytics) they will assess case by case. Otherwise they consider that signatories arent violating the UNGC</t>
  </si>
  <si>
    <t xml:space="preserve">If an issuer is on the UNGC website then they presume that the policies etc are in place. 
Re OECD Guidelines for Multinational Enterprises there isnt an official list - so they rely on issues directly mentioning this </t>
  </si>
  <si>
    <t>Unadjusted gender pay gap</t>
  </si>
  <si>
    <t>This is one of the hardest bits of data to find but it should be relatively easy for issuers to publish</t>
  </si>
  <si>
    <t>Board gender diversity</t>
  </si>
  <si>
    <t>Average ratio of female to male board members in investee companies, expressed as a percentage of all board members</t>
  </si>
  <si>
    <t>Can get the data from data providers (e.g. in MSCI reports) or direct from issuer. Usually they can find this info but putting as part of a dediated PAI table would relly help (data provider info is often inaccurate / out of date)</t>
  </si>
  <si>
    <t>Can be checked at a company level but it is still helpful for companies to state for certainty (e.g. some chemical companies have been linked to chemical weapons for example)</t>
  </si>
  <si>
    <t>Externally assured selected information by ERM CVS</t>
  </si>
  <si>
    <t>Metric name</t>
  </si>
  <si>
    <t>Unit of Measure</t>
  </si>
  <si>
    <t>2022/23 total figure</t>
  </si>
  <si>
    <t>Total Scope 1 GHG emissions</t>
  </si>
  <si>
    <t>Total Scope 2 GHG emissions (market-based)</t>
  </si>
  <si>
    <t>Total Scope 2 GHG emissions (location-based)</t>
  </si>
  <si>
    <t>Total Scope 1 and 2 GHG emissions (market-based)</t>
  </si>
  <si>
    <t>Total Scope 1 and 2 carbon intensity (market-based)</t>
  </si>
  <si>
    <t>Year on year change in Scope 1 and 2 carbon intensity</t>
  </si>
  <si>
    <t>%</t>
  </si>
  <si>
    <t>Total Scope 3 (Category 3) Fuel and Energy-related GHG emissions</t>
  </si>
  <si>
    <t>Total energy consumption</t>
  </si>
  <si>
    <t>MWh</t>
  </si>
  <si>
    <t>Total non-renewable energy consumption</t>
  </si>
  <si>
    <t>kWh</t>
  </si>
  <si>
    <t>Total renewable energy purchased or generated</t>
  </si>
  <si>
    <t>Certified renewable electricity consumption</t>
  </si>
  <si>
    <t>Total Scope 3 (Category 1) Purchased Goods and Services GHG emissions</t>
  </si>
  <si>
    <t>Total freshwater withdrawal (all sources)</t>
  </si>
  <si>
    <t>Total water discharged back to original source</t>
  </si>
  <si>
    <t>Net freshwater consumption</t>
  </si>
  <si>
    <t>Average direct Chemical Oxygen Demand of wastewater (COD)</t>
  </si>
  <si>
    <t>mg/L</t>
  </si>
  <si>
    <t>Coverage for COD reporting</t>
  </si>
  <si>
    <t>Freshwater consumed in regions of high or extremely high baseline water stress</t>
  </si>
  <si>
    <t>Total waste sent off site</t>
  </si>
  <si>
    <t>tonnes</t>
  </si>
  <si>
    <t>Total waste disposed off site to landfill</t>
  </si>
  <si>
    <t>Total solid waste disposed off site</t>
  </si>
  <si>
    <t>Total solid waste generated for treatment off site</t>
  </si>
  <si>
    <t>Total solid waste sent off site to be reused or recycled</t>
  </si>
  <si>
    <t>Total hazardous waste sent off site for treatment</t>
  </si>
  <si>
    <t>Nitrogen oxides (NOx) emissions to air</t>
  </si>
  <si>
    <t>Sulphur oxides (SOx) emissions to air</t>
  </si>
  <si>
    <t>Volatile organic chemicals (VOCs) emissions to air</t>
  </si>
  <si>
    <t>Coverage for NOx reporting</t>
  </si>
  <si>
    <t>Coverage for SOx reporting</t>
  </si>
  <si>
    <t>Coverage for VOCs reporting</t>
  </si>
  <si>
    <t>Lost Time Injury Frequency Rate (LTIFR) employees</t>
  </si>
  <si>
    <t>n/million hrs</t>
  </si>
  <si>
    <t>Lost Time Injury Frequency Rate (LTIFR) contractors</t>
  </si>
  <si>
    <t xml:space="preserve">Occupational Illness Frequency Rate (OIFR)  </t>
  </si>
  <si>
    <t>Tier 1 Process Safety events rate</t>
  </si>
  <si>
    <t>Tier 1 events/1,000,000hrs</t>
  </si>
  <si>
    <t>Total Recordable Injury and Illness Rate(TRIIR) employees + contractors</t>
  </si>
  <si>
    <t>n/200,000 hrs</t>
  </si>
  <si>
    <t>ICCA Process Safety Event Severity Rate (PSESR)</t>
  </si>
  <si>
    <t>PSESR/200,000hrs</t>
  </si>
  <si>
    <t>KPI</t>
  </si>
  <si>
    <t>Units of Measurement</t>
  </si>
  <si>
    <t>Target definition</t>
  </si>
  <si>
    <t>Baseline year</t>
  </si>
  <si>
    <t>2030 target</t>
  </si>
  <si>
    <t>Current
(2022/23)</t>
  </si>
  <si>
    <t>% progress vs baseline</t>
  </si>
  <si>
    <t>% progress to 2030 target</t>
  </si>
  <si>
    <t>Avoided GHG emissions by customers when using our technologies</t>
  </si>
  <si>
    <t>50 million tonnes of GHG emissions avoided per year using technologies enabled by JM's products and solutions, compared to conventional offerings</t>
  </si>
  <si>
    <t>2020/21</t>
  </si>
  <si>
    <t>Total Scope 1 and Scope 2 GHG emissions (market-based)</t>
  </si>
  <si>
    <t>Reduction of 42% on baseline 2019/20 value by 2030</t>
  </si>
  <si>
    <t>2019/20</t>
  </si>
  <si>
    <t>Scope 3 Purchased Goods &amp; Services</t>
  </si>
  <si>
    <t>Increase recycled PGM content in JM's manufactured products to at least 75%</t>
  </si>
  <si>
    <t>2021/22</t>
  </si>
  <si>
    <t>Reduction of 50% on baseline 2019/20 value by 2030</t>
  </si>
  <si>
    <t>Reduction of 25% on baseline 2019/20 value by 2030</t>
  </si>
  <si>
    <t>TRIIR employees and contractors</t>
  </si>
  <si>
    <t>Achieve a Total Recordable Injury and illness rate for employees and contractors below 0.25</t>
  </si>
  <si>
    <t>Employee Engagement</t>
  </si>
  <si>
    <t xml:space="preserve">Female representation </t>
  </si>
  <si>
    <t>Achieve more than 40% of female representation across all management level</t>
  </si>
  <si>
    <t>Work with Tony Malone</t>
  </si>
  <si>
    <t>Planet</t>
  </si>
  <si>
    <r>
      <t>We are a global leader in sustainable technologies. Through inspiring science and continued innovation, we are catalysing the net zero transition for millions of people every day. Our skills and technology are more important today as businesses and communities adapt and rise to the challenges of climate change. But sustainability isn’t just about our portfolio of technologies. It’s also about our own operations, how we work together and hold ourselves accountable.
For more information on our methodology, please see our Basis of Reporting on pages</t>
    </r>
    <r>
      <rPr>
        <sz val="12"/>
        <color rgb="FFFF0000"/>
        <rFont val="Verdana"/>
        <family val="2"/>
      </rPr>
      <t xml:space="preserve"> XXX-XXX</t>
    </r>
    <r>
      <rPr>
        <sz val="12"/>
        <color rgb="FF0000CC"/>
        <rFont val="Verdana"/>
        <family val="2"/>
      </rPr>
      <t xml:space="preserve"> of our Annual Report and Accounts 
</t>
    </r>
    <r>
      <rPr>
        <b/>
        <sz val="12"/>
        <color rgb="FF0000CC"/>
        <rFont val="Verdana"/>
        <family val="2"/>
      </rPr>
      <t>Data Scope</t>
    </r>
    <r>
      <rPr>
        <sz val="12"/>
        <color rgb="FF0000CC"/>
        <rFont val="Verdana"/>
        <family val="2"/>
      </rPr>
      <t xml:space="preserve">: These numbers reflect all JM usage and emissions as recorded during the financial years as stated. All data from sites that were sold is included. For some sites that were disposed there is a partial years entry to reflect the usage / emissions that occurred under JM ownership of the site.  
</t>
    </r>
    <r>
      <rPr>
        <b/>
        <sz val="12"/>
        <color rgb="FF0000CC"/>
        <rFont val="Verdana"/>
        <family val="2"/>
      </rPr>
      <t xml:space="preserve">Restatement comment: </t>
    </r>
    <r>
      <rPr>
        <sz val="12"/>
        <color rgb="FF0000CC"/>
        <rFont val="Verdana"/>
        <family val="2"/>
      </rPr>
      <t>Following a review of the methodologies for calculating process CO</t>
    </r>
    <r>
      <rPr>
        <vertAlign val="subscript"/>
        <sz val="12"/>
        <color rgb="FF0000CC"/>
        <rFont val="Verdana"/>
        <family val="2"/>
      </rPr>
      <t>2</t>
    </r>
    <r>
      <rPr>
        <sz val="12"/>
        <color rgb="FF0000CC"/>
        <rFont val="Verdana"/>
        <family val="2"/>
      </rPr>
      <t xml:space="preserve"> emissions in our Clean Air business and a review of the N</t>
    </r>
    <r>
      <rPr>
        <vertAlign val="subscript"/>
        <sz val="12"/>
        <color rgb="FF0000CC"/>
        <rFont val="Verdana"/>
        <family val="2"/>
      </rPr>
      <t>2</t>
    </r>
    <r>
      <rPr>
        <sz val="12"/>
        <color rgb="FF0000CC"/>
        <rFont val="Verdana"/>
        <family val="2"/>
      </rPr>
      <t xml:space="preserve">0 emissions calculations in our Catalyst Technologies business the values have been restated for all years from base year (2019/20). Energy totals have also been restated from previously reported values due to correction of an error in reporting at two of our UK sites. </t>
    </r>
  </si>
  <si>
    <t>Greenhouse gas (GHG) emissions</t>
  </si>
  <si>
    <t>Scope 1 and 2 greenhouse gas (GHG) emissions</t>
  </si>
  <si>
    <t>Definition / calculation methodology</t>
  </si>
  <si>
    <t>Units of Measure</t>
  </si>
  <si>
    <t>2022/23</t>
  </si>
  <si>
    <t>Global</t>
  </si>
  <si>
    <t>UK Only</t>
  </si>
  <si>
    <t>Global
(excl UK)</t>
  </si>
  <si>
    <r>
      <t>Scope 1 emissions are the direct Emissions from our sites and come from a number of sources. Scope 1 emissions are emitted following combustion of Fuels at our sites and this encompasses any fuels we consume in our operations (e.g. natural gas, LPG, Diesel etc).  We also emit GHG directly from our processes which comprise of CO</t>
    </r>
    <r>
      <rPr>
        <vertAlign val="subscript"/>
        <sz val="11"/>
        <rFont val="Verdana"/>
        <family val="2"/>
      </rPr>
      <t>2</t>
    </r>
    <r>
      <rPr>
        <sz val="11"/>
        <rFont val="Verdana"/>
        <family val="2"/>
      </rPr>
      <t xml:space="preserve"> or CO</t>
    </r>
    <r>
      <rPr>
        <vertAlign val="subscript"/>
        <sz val="11"/>
        <rFont val="Verdana"/>
        <family val="2"/>
      </rPr>
      <t>2</t>
    </r>
    <r>
      <rPr>
        <sz val="11"/>
        <rFont val="Verdana"/>
        <family val="2"/>
      </rPr>
      <t xml:space="preserve"> equivalents that we directly emit. The GHG that we consider are those mentioned in the Kyoto Protocol and cover CH</t>
    </r>
    <r>
      <rPr>
        <vertAlign val="subscript"/>
        <sz val="11"/>
        <rFont val="Verdana"/>
        <family val="2"/>
      </rPr>
      <t>4</t>
    </r>
    <r>
      <rPr>
        <sz val="11"/>
        <rFont val="Verdana"/>
        <family val="2"/>
      </rPr>
      <t>, N</t>
    </r>
    <r>
      <rPr>
        <vertAlign val="subscript"/>
        <sz val="11"/>
        <rFont val="Verdana"/>
        <family val="2"/>
      </rPr>
      <t>2</t>
    </r>
    <r>
      <rPr>
        <sz val="11"/>
        <rFont val="Verdana"/>
        <family val="2"/>
      </rPr>
      <t>O and refrigerant gases in addition to CO</t>
    </r>
    <r>
      <rPr>
        <vertAlign val="subscript"/>
        <sz val="11"/>
        <rFont val="Verdana"/>
        <family val="2"/>
      </rPr>
      <t>2</t>
    </r>
    <r>
      <rPr>
        <sz val="11"/>
        <rFont val="Verdana"/>
        <family val="2"/>
      </rPr>
      <t xml:space="preserve">.  Scope 1 emissions also include emissions from fuel used in JM owned vehicles.
Scope 1 emissions from fuel use are calculated by applying calorific values and emission factors sourced from DEFRA </t>
    </r>
  </si>
  <si>
    <r>
      <t>tonnes CO</t>
    </r>
    <r>
      <rPr>
        <vertAlign val="subscript"/>
        <sz val="11"/>
        <rFont val="Verdana"/>
        <family val="2"/>
      </rPr>
      <t>2</t>
    </r>
    <r>
      <rPr>
        <sz val="11"/>
        <rFont val="Verdana"/>
        <family val="2"/>
      </rPr>
      <t>e</t>
    </r>
  </si>
  <si>
    <t>Scope 2 are indirect emissions and relates to our electricity and any steam energy that we import onto site that has not be generated by Johnson Matthey burning fuel that has been reported in the scope 1 section above.  
The Market based Greenhouse Gas emission factors for Grid electricity purchases from suppliers that the site / business unit has purposefully chosen.  This is the carbon intensity of purchased electricity. These are obtained in writing direct from the supplier</t>
  </si>
  <si>
    <t xml:space="preserve">Scope 2 are indirect emissions and relates to our electricity and any steam energy that we import onto site that has not be generated by Johnson Matthey burning fuel that has been reported in the scope 1 section above.  
The Location based Greenhouse Gas emission factor for grid electricity purchases uses the carbon intensity from the location of the purchase and is sourced from the most up to date factors from eGrid (USA) DEFRA (UK) and IEA (rest of World). </t>
  </si>
  <si>
    <t>Total Scope 1 and 2 GHG emission (market-based)</t>
  </si>
  <si>
    <t>This is our operational GHG footprint using the scope 1 emissions and the market based scope 2 emissions as stated above.</t>
  </si>
  <si>
    <r>
      <t>tonnes CO</t>
    </r>
    <r>
      <rPr>
        <b/>
        <vertAlign val="subscript"/>
        <sz val="11"/>
        <rFont val="Verdana"/>
        <family val="2"/>
      </rPr>
      <t>2</t>
    </r>
    <r>
      <rPr>
        <b/>
        <sz val="11"/>
        <rFont val="Verdana"/>
        <family val="2"/>
      </rPr>
      <t>e</t>
    </r>
  </si>
  <si>
    <t>Total Scope 1 and 2 GHG emission (location-based)</t>
  </si>
  <si>
    <t>This is our operational GHG footprint using the scope 1 emissions and the location based scope 2 emissions as stated above.</t>
  </si>
  <si>
    <t xml:space="preserve">This is the total scope 1 GHG emissions and  Scope 2 GHG emissions based on the market values factored against the weight of product sold. </t>
  </si>
  <si>
    <r>
      <t>tonnes CO</t>
    </r>
    <r>
      <rPr>
        <b/>
        <vertAlign val="subscript"/>
        <sz val="11"/>
        <rFont val="Verdana"/>
        <family val="2"/>
      </rPr>
      <t>2</t>
    </r>
    <r>
      <rPr>
        <b/>
        <sz val="11"/>
        <rFont val="Verdana"/>
        <family val="2"/>
      </rPr>
      <t>e/tonnes sales</t>
    </r>
  </si>
  <si>
    <t xml:space="preserve">Scope 3 GHG emissions by category </t>
  </si>
  <si>
    <t>Definition/calculation methodology</t>
  </si>
  <si>
    <t>Total Scope 3 (Category 1) Purchased goods and services GHG emissions</t>
  </si>
  <si>
    <t>Where mass of purchased goods was available, this was used in combination with GHG intensity factors obtained either from suppliers or EcoInvent. For the remaining goods and for purchased services a financial allocation (EEIO model) was used</t>
  </si>
  <si>
    <r>
      <t>tonnes CO</t>
    </r>
    <r>
      <rPr>
        <vertAlign val="subscript"/>
        <sz val="11"/>
        <color rgb="FF000000"/>
        <rFont val="Verdana"/>
        <family val="2"/>
      </rPr>
      <t>2</t>
    </r>
    <r>
      <rPr>
        <sz val="11"/>
        <color rgb="FF000000"/>
        <rFont val="Verdana"/>
        <family val="2"/>
      </rPr>
      <t>e</t>
    </r>
  </si>
  <si>
    <t>Total Scope 3 (Category 2) Capital goods GHG emissions</t>
  </si>
  <si>
    <t>Financial allocation (EEIO model) using geographical breakdown of data shown in Accounting note 12 “Property, plant &amp; equipment” on page 174</t>
  </si>
  <si>
    <t>Total Scope 3 (Category 3) Fuel and Energy-related activities GHG emissions</t>
  </si>
  <si>
    <t>Defra’s GHG reporting conversion factors 2022 were used to calculate well-to-tank GHG emissions from fuel usage, transmission and distribution losses from purchased electricity, and well-to-tank and transmission and distribution losses of energy from steam</t>
  </si>
  <si>
    <t>Total Scope 3 (Category 4) Upstream transportation and distribution GHG emissions</t>
  </si>
  <si>
    <t>Emissions data was provided by our suppliers where available. Otherwise, a financial allocation was made based on spend and intensity factors from the EEIO mode</t>
  </si>
  <si>
    <t>Total Scope 3 (Category 5) Waste generated in operations GHG emissions</t>
  </si>
  <si>
    <t>Where GHG footprints were available from waste service providers they were used, otherwise Defra’s GHG reporting conversion factors 2022 were used according to mass of waste disposal by destination see page 46</t>
  </si>
  <si>
    <t>Total Scope 3 (Category 6) Business travel GHG emissions</t>
  </si>
  <si>
    <t>Footprint business travel for air and rail was obtained from our business travel service providers. Where available mileage for personal car, taxi and public transport use was used in combination with Defra’s GHG reporting conversion factors 2022. In the absence of mileage, a financial allocation was made based on expenses spend and intensity factors from the EEIO model. Accounting is by date of financial transaction</t>
  </si>
  <si>
    <t>Total Scope 3 (Category 7) Employee commuting GHG emissions</t>
  </si>
  <si>
    <t>Data is obtained by employee survey of miles travelled per week by modes of transport. Defra’s GHG reporting conversion factors 2022 are used to calculate the GHG intensity of each transport type</t>
  </si>
  <si>
    <t>Total Scope 3 (Category 8) Upstream leased assets GHG emissions</t>
  </si>
  <si>
    <t>Financial allocation (EEIO model) using floor space and geographical location</t>
  </si>
  <si>
    <t>Total Scope 3 (Category 9) Downstream transportation and distribution GHG emissions</t>
  </si>
  <si>
    <t>Where JM takes responsibility for the downstream distribution of goods, it was included in the upstream category calculation. Where our customers takes responsibility, no data is available</t>
  </si>
  <si>
    <t>Total Scope 3 (Category 10) Processing of sold products GHG emissions</t>
  </si>
  <si>
    <t>No quantitative data available, but not expected to be material based on our knowledge of how our customers use our products</t>
  </si>
  <si>
    <t>Total Scope 3 (Category 11) Use of sold products GHG emissions</t>
  </si>
  <si>
    <t>We have removed Use of sold products from our footprint by agreement with SBTi, as it determined that the emissions we reported in this category were ‘indirect’ and should not, therefore, be included.</t>
  </si>
  <si>
    <t>Total Scope 3 (Category 12)  End of life treatment of sold products GHG emissions</t>
  </si>
  <si>
    <t>Many of JM’s products are returned to the company for recovery of the precious metals and thus end of life treatment is included in our Scope 1 and Scope 2 footprint. JM does not have visibility of other end of life treatments</t>
  </si>
  <si>
    <t>Total Scope 3 (Category 13) Downstream leased assets GHG emissions</t>
  </si>
  <si>
    <t>Included in Upstream leased assets category</t>
  </si>
  <si>
    <t>Total Scope 3 (Category 14) Franchises GHG emissions</t>
  </si>
  <si>
    <t>JM does not have any franchises</t>
  </si>
  <si>
    <t>Total Scope 3 (Category 15) Investments GHG emissions</t>
  </si>
  <si>
    <t>GHG footprints from our Pensions trustee providers were used, where available, and scaled to represent JM's global employee count. Financial allocation (EEIO model) using geographical breakdown of investment revenues from each entity</t>
  </si>
  <si>
    <t xml:space="preserve">Total </t>
  </si>
  <si>
    <r>
      <t>tonnes CO</t>
    </r>
    <r>
      <rPr>
        <b/>
        <vertAlign val="subscript"/>
        <sz val="11"/>
        <color rgb="FF000000"/>
        <rFont val="Verdana"/>
        <family val="2"/>
      </rPr>
      <t>2</t>
    </r>
    <r>
      <rPr>
        <b/>
        <sz val="11"/>
        <color rgb="FF000000"/>
        <rFont val="Verdana"/>
        <family val="2"/>
      </rPr>
      <t>e</t>
    </r>
  </si>
  <si>
    <t>Total GHG emissions</t>
  </si>
  <si>
    <t>Purchased Goods and Services</t>
  </si>
  <si>
    <t>All other Scope 3 categories</t>
  </si>
  <si>
    <t>Total</t>
  </si>
  <si>
    <t>Environmental KPIs</t>
  </si>
  <si>
    <t xml:space="preserve">Water withdrawal by source </t>
  </si>
  <si>
    <t>Total municipal water supplies</t>
  </si>
  <si>
    <t>This is fresh water that is supplied to site via mains pipework.</t>
  </si>
  <si>
    <r>
      <t>m</t>
    </r>
    <r>
      <rPr>
        <vertAlign val="superscript"/>
        <sz val="11"/>
        <color theme="1"/>
        <rFont val="Verdana"/>
        <family val="2"/>
      </rPr>
      <t>3</t>
    </r>
  </si>
  <si>
    <t>Fresh surface water</t>
  </si>
  <si>
    <t>This is water that is extracted from fresh surface water</t>
  </si>
  <si>
    <t>Fresh groundwater</t>
  </si>
  <si>
    <t xml:space="preserve">Water in soil beneath the soil surface, usually under conditions where the pressure in the water is greater than the atmospheric pressure, and the soil voids are substantially filled with the water. </t>
  </si>
  <si>
    <t xml:space="preserve">Total water withdrawal </t>
  </si>
  <si>
    <t xml:space="preserve">This is the total fresh mains water, water extracted from the surface of the earth and water extracted from beneath the ground. </t>
  </si>
  <si>
    <r>
      <t>m</t>
    </r>
    <r>
      <rPr>
        <b/>
        <vertAlign val="superscript"/>
        <sz val="11"/>
        <color theme="1"/>
        <rFont val="Verdana"/>
        <family val="2"/>
      </rPr>
      <t>3</t>
    </r>
  </si>
  <si>
    <t>Water discharge</t>
  </si>
  <si>
    <t>Wastewater returned to the source of extraction at similar or higher quality as raw water extracted</t>
  </si>
  <si>
    <t>This is wastewater that is returned to its original source and is of equal or higher quality than the water that was originally extracted. In JM we only consider water returned to surface or ground water for this indicator.</t>
  </si>
  <si>
    <t>Water consumption</t>
  </si>
  <si>
    <t>Net Fresh Water consumption</t>
  </si>
  <si>
    <t>This indicator equates the net fresh waterusage indicator as per the DJSI reporting criteria. This equates to the fresh water takn into site from mains, surface and groundwater which is adjusted for any water that is returned to fresh surface or groundwater.</t>
  </si>
  <si>
    <r>
      <t>000's m</t>
    </r>
    <r>
      <rPr>
        <b/>
        <vertAlign val="superscript"/>
        <sz val="11"/>
        <color theme="1"/>
        <rFont val="Verdana"/>
        <family val="2"/>
      </rPr>
      <t>3</t>
    </r>
  </si>
  <si>
    <t>This indicator equates the net fresh water usage indicator as per the DJSI reporting criteria in areas that are rated as "high" or "extremely High" baseline water stress under the WRI Aqueduct model. This equates to the fresh water takn into site from mains, fresh surface water and fresh groundwater. This is then adjusted for any water that is returned at the same or at higher quality to fresh surface water or fresh groundwater.
The JM facility coordinates are entered into the WRI Aqueduct model and the Baseline Water Stress is calculated. Baseline water stress measures the ratio of total water withdrawals to available renewable surface water and groundwater supplies. Water withdrawals include domestic, industrial, irrigation, and livestock consumptive and nonconsumptive uses. Available renewable water supplies include the impact of upstream consumptive water users and large dams on downstream water availability. Higher values indicate more competition among users.</t>
  </si>
  <si>
    <r>
      <t>000's m</t>
    </r>
    <r>
      <rPr>
        <b/>
        <vertAlign val="superscript"/>
        <sz val="11"/>
        <rFont val="Verdana"/>
        <family val="2"/>
      </rPr>
      <t>3</t>
    </r>
  </si>
  <si>
    <t>Average COD of waste water discharge</t>
  </si>
  <si>
    <t>Total wastewater discharged</t>
  </si>
  <si>
    <t>This is the total amount of wastewater that is discharged from all JM operations and includes wastewater that may require further treatment from municipal sewerage systems, water that requires no further treatment that is sent to brackish surface water and water that requires no treatement that is returned to the groundwater source from which it was originally extracted.</t>
  </si>
  <si>
    <r>
      <t>m</t>
    </r>
    <r>
      <rPr>
        <b/>
        <vertAlign val="superscript"/>
        <sz val="11"/>
        <color rgb="FF000000"/>
        <rFont val="Verdana"/>
        <family val="2"/>
      </rPr>
      <t>3</t>
    </r>
  </si>
  <si>
    <t>This is the Chemical Oxygen Demand (COD) of the wastewater that JM discharges from site. Chemical oxygen demand is a measure of the capacity of water to consume oxygen during the decomposition of organic matter and the oxidation of inorganic chemicals such as Ammonia and nitrite. COD is seen as being an indicator of chemical contamination in water. COD is measured on wastewaters discharged from site</t>
  </si>
  <si>
    <t>% waste water discharge covered by COD data</t>
  </si>
  <si>
    <t>This represents the amount of wastewater at JM where COD is routinely measured.</t>
  </si>
  <si>
    <t>Total waste generated and sent off site</t>
  </si>
  <si>
    <t>Liquid hazardous waste</t>
  </si>
  <si>
    <t>Hazardous waste is material deemed hazardous under the terms of the Basel Convention Annex I, II, III, 179 and VIII.  A solid waste is any item that is transported in a skip or similar container that cannot be poured</t>
  </si>
  <si>
    <t>Solid hazardous waste</t>
  </si>
  <si>
    <t>Hazardous waste is material deemed hazardous under the terms of the Basel Convention Annex I, II, III, 179 and VIII.  A liquid waste is any item that can be poured and is transported in IBC, tanker or sealed container</t>
  </si>
  <si>
    <t>Liquid non-hazardous waste</t>
  </si>
  <si>
    <t>Non Hazardous waste is material that is not deemed hazardous under the terms of the Basel Convention Annex I, II, III, 179 and VIII.  A solid waste is any item that is transported in a skip or similar container that cannot be poured</t>
  </si>
  <si>
    <t>Solid non-hazardous waste</t>
  </si>
  <si>
    <t>Non Hazardous waste is material not deemed hazardous under the terms of the Basel Convention Annex I, II, III, 179 and VIII.  A liquid waste is any item that can be poured and is transported in IBC, tanker or sealed container</t>
  </si>
  <si>
    <t>Total hazardous waste sent off site</t>
  </si>
  <si>
    <t>Waste is recorded under various classifications across JM as either hazardous or non hazardous. The total waste represents all the waste that is generated by JM operations and that is sent outside of JM for treatment or disposal.</t>
  </si>
  <si>
    <t>Waste directed to off site disposal</t>
  </si>
  <si>
    <t>Non-hazardous waste disposed through incineration with energy recovery</t>
  </si>
  <si>
    <t xml:space="preserve"> The waste is disposed of through incineration were energy is recovered and used to generate heat locally or energy that is used locally or exported to an energy grid. Non Hazardous waste is material that is not deemed hazardous under the terms of the Basel Convention Annex I, II, III, 179 and VIII.</t>
  </si>
  <si>
    <t>Non-hazardous waste disposed through incineration or treatment without energy recovery</t>
  </si>
  <si>
    <t>The waste that is sent off site to be incinerated or treated in any other way before final disposai.  Non Hazardous waste is material that is not deemed hazardous under the terms of the Basel Convention Annex I, II, III, 179 and VIII.</t>
  </si>
  <si>
    <t>Non-hazardous waste disposed to landfill</t>
  </si>
  <si>
    <t>The waste is disposed of by burial in a landfill site. Non Hazardous waste is material that is not deemed hazardous under the terms of the Basel Convention Annex I, II, III, 179 and VIII.</t>
  </si>
  <si>
    <r>
      <t>Total non-hazardous waste disposed</t>
    </r>
    <r>
      <rPr>
        <b/>
        <vertAlign val="superscript"/>
        <sz val="11"/>
        <rFont val="Verdana"/>
        <family val="2"/>
      </rPr>
      <t>7</t>
    </r>
  </si>
  <si>
    <t xml:space="preserve">This is the total non hazardous waste that is disposed of by the methods mentioned above. </t>
  </si>
  <si>
    <t>Hazardous waste disposed through incineration with energy recovery</t>
  </si>
  <si>
    <t xml:space="preserve"> The waste is disposed of through incineration were energy is recovered and used to generate heat locally or energy that is used locally or exported to an energy grid. Hazardous waste is material that is deemed hazardous under the terms of the Basel Convention Annex I, II, III, 179 and VIII.</t>
  </si>
  <si>
    <t>Hazardous waste disposed through incineration or treatment without energy recovery</t>
  </si>
  <si>
    <t>The waste that is sent off site to be incinerated or treated in any other way before final disposai.  Hazardous waste is material that is deemed hazardous under the terms of the Basel Convention Annex I, II, III, 179 and VIII.</t>
  </si>
  <si>
    <t>Hazardous waste disposed to landfill</t>
  </si>
  <si>
    <t>The waste is disposed of by burial in a landfill site. Hazardous waste is material that is deemed hazardous under the terms of the Basel Convention Annex I, II, III, 179 and VIII.</t>
  </si>
  <si>
    <t>Total hazardous waste disposed</t>
  </si>
  <si>
    <t xml:space="preserve">This is the total hazardous waste that is disposed of by the methods mentioned above. </t>
  </si>
  <si>
    <t xml:space="preserve">Total waste disposed </t>
  </si>
  <si>
    <t>This is the total waste that is disposed of by incinerations with energy recovery, incineration or treatment prior to disposal or sent to landfill.</t>
  </si>
  <si>
    <t>Total waste disposed to landfill</t>
  </si>
  <si>
    <t>This is the total waste that is disposed of by burying at landfill.</t>
  </si>
  <si>
    <t>Waste diverted from off site disposal</t>
  </si>
  <si>
    <t>Non-hazardous waste  reused</t>
  </si>
  <si>
    <t>Non-hazardous waste that is sent off site to be reused. A waste stream can be reported as  "re-used" if the beneficiary takes the material at no cost to JM (including paying for transportation off the JM site). If JM pays the cost of transport, then it should be reported as "recycled" rather than re-used.   Non Hazardous waste is material not deemed hazardous under the terms of the Basel Convention Annex I, II, III, 179 and VIII.</t>
  </si>
  <si>
    <t>Hazardous waste  reused</t>
  </si>
  <si>
    <t>Hazardous waste that is sent off site to be reused. A waste stream can be reported as  "re-used" if the beneficiary takes the material at no cost to JM (including paying for transportation off the JM site). If JM pays the cost of transport, then it should be reported as "recycled" rather than re-used.   Hazardous waste is material deemed hazardous under the terms of the Basel Convention Annex I, II, III, 179 and VIII.</t>
  </si>
  <si>
    <t>Non-hazardous waste recycled</t>
  </si>
  <si>
    <t>Non-hazardous waste that is sent off site to be recycled. A waste stream can be reported as  "recycled" if  material can be recovered and then used again in place of virgin raw materials. Non Hazardous waste is material not deemed hazardous under the terms of the Basel Convention Annex I, II, III, 179 and VIII.</t>
  </si>
  <si>
    <t>Hazardous waste recycled</t>
  </si>
  <si>
    <t>Hazardous waste that is sent off site to be recycled. A waste stream can be reported as  "recycled" if  material can be recovered and then used again in place of virgin raw materials. Hazardous waste is material deemed hazardous under the terms of the Basel Convention Annex I, II, III, 179 and VIII.</t>
  </si>
  <si>
    <t>Total waste recycled or reused</t>
  </si>
  <si>
    <t>The total waste reported as  "re-used"  and recycled where reused is the beneficiary takes the material at no cost to JM (including paying for transportation off the JM site). If JM pays the cost of transport, then it should be reported as "recycled" rather than re-used.  Recycled waste is material that can be recovered and then used again in place of virgin raw materials.</t>
  </si>
  <si>
    <t xml:space="preserve">Non-hazardous waste recycled or Re-used  </t>
  </si>
  <si>
    <t>Expressed as a percentage of the total waste sent offsite for disposal by JM.</t>
  </si>
  <si>
    <t xml:space="preserve">Hazardous waste recycled or Re-used </t>
  </si>
  <si>
    <t xml:space="preserve">Total waste recycled or reused </t>
  </si>
  <si>
    <t>Solid waste disposed off site</t>
  </si>
  <si>
    <t>Total solid waste generated</t>
  </si>
  <si>
    <t>This represents the total solid waste (hazardous and non hazardous that JM generates and that requires treatment or disposal outside of JM.</t>
  </si>
  <si>
    <t>Total solid waste reused</t>
  </si>
  <si>
    <t>This represents the total solid waste (hazardous + non hazardous) that is sent to reuse outside of JM</t>
  </si>
  <si>
    <t>Total solid waste recycled</t>
  </si>
  <si>
    <t>This represents the total solid waste (hazardous + non hazardous that is sent to recycling outside JM</t>
  </si>
  <si>
    <t>Total solid waste disposed</t>
  </si>
  <si>
    <t>This represents the total solid waste (hazardous + non hazardous) that is disposed of outside JM</t>
  </si>
  <si>
    <t>Emissions to air %age coverage</t>
  </si>
  <si>
    <r>
      <t>Nitrogen oxides (NO</t>
    </r>
    <r>
      <rPr>
        <vertAlign val="subscript"/>
        <sz val="11"/>
        <rFont val="Verdana"/>
        <family val="2"/>
      </rPr>
      <t>x</t>
    </r>
    <r>
      <rPr>
        <sz val="11"/>
        <rFont val="Verdana"/>
        <family val="2"/>
      </rPr>
      <t>) emissions to air</t>
    </r>
  </si>
  <si>
    <r>
      <t>This is the generation of nitric oxides either through high temperature combustion processes or by the use of concentrated nitric acid in production processes. Including Nitric Oxide (NO), Nitrogen Dioxide (NO</t>
    </r>
    <r>
      <rPr>
        <vertAlign val="subscript"/>
        <sz val="11"/>
        <rFont val="Verdana"/>
        <family val="2"/>
      </rPr>
      <t>2</t>
    </r>
    <r>
      <rPr>
        <sz val="11"/>
        <rFont val="Verdana"/>
        <family val="2"/>
      </rPr>
      <t>) Dinitrogen Dioxide (N</t>
    </r>
    <r>
      <rPr>
        <vertAlign val="subscript"/>
        <sz val="11"/>
        <rFont val="Verdana"/>
        <family val="2"/>
      </rPr>
      <t>2</t>
    </r>
    <r>
      <rPr>
        <sz val="11"/>
        <rFont val="Verdana"/>
        <family val="2"/>
      </rPr>
      <t>O</t>
    </r>
    <r>
      <rPr>
        <vertAlign val="subscript"/>
        <sz val="11"/>
        <rFont val="Verdana"/>
        <family val="2"/>
      </rPr>
      <t>2</t>
    </r>
    <r>
      <rPr>
        <sz val="11"/>
        <rFont val="Verdana"/>
        <family val="2"/>
      </rPr>
      <t>) and Dinitrogen Trioxide (N</t>
    </r>
    <r>
      <rPr>
        <vertAlign val="subscript"/>
        <sz val="11"/>
        <rFont val="Verdana"/>
        <family val="2"/>
      </rPr>
      <t>2</t>
    </r>
    <r>
      <rPr>
        <sz val="11"/>
        <rFont val="Verdana"/>
        <family val="2"/>
      </rPr>
      <t>O</t>
    </r>
    <r>
      <rPr>
        <vertAlign val="subscript"/>
        <sz val="11"/>
        <rFont val="Verdana"/>
        <family val="2"/>
      </rPr>
      <t>3</t>
    </r>
    <r>
      <rPr>
        <sz val="11"/>
        <rFont val="Verdana"/>
        <family val="2"/>
      </rPr>
      <t xml:space="preserve">). </t>
    </r>
  </si>
  <si>
    <r>
      <t>Sulphur oxides (SO</t>
    </r>
    <r>
      <rPr>
        <vertAlign val="subscript"/>
        <sz val="11"/>
        <rFont val="Verdana"/>
        <family val="2"/>
      </rPr>
      <t>x</t>
    </r>
    <r>
      <rPr>
        <sz val="11"/>
        <rFont val="Verdana"/>
        <family val="2"/>
      </rPr>
      <t>) emissions to air</t>
    </r>
  </si>
  <si>
    <r>
      <t>Usually generated from high temperature combustion involving contaminants in the fuel source. Sulphur Dioxide (SO</t>
    </r>
    <r>
      <rPr>
        <vertAlign val="subscript"/>
        <sz val="11"/>
        <rFont val="Verdana"/>
        <family val="2"/>
      </rPr>
      <t>2</t>
    </r>
    <r>
      <rPr>
        <sz val="11"/>
        <rFont val="Verdana"/>
        <family val="2"/>
      </rPr>
      <t>) is one of a group of gases called sulphur oxides (SO</t>
    </r>
    <r>
      <rPr>
        <vertAlign val="subscript"/>
        <sz val="11"/>
        <rFont val="Verdana"/>
        <family val="2"/>
      </rPr>
      <t>x</t>
    </r>
    <r>
      <rPr>
        <sz val="11"/>
        <rFont val="Verdana"/>
        <family val="2"/>
      </rPr>
      <t>). The other gases in the group are much less common in the atmosphere  e.g. SO</t>
    </r>
    <r>
      <rPr>
        <vertAlign val="subscript"/>
        <sz val="11"/>
        <rFont val="Verdana"/>
        <family val="2"/>
      </rPr>
      <t>3</t>
    </r>
    <r>
      <rPr>
        <sz val="11"/>
        <rFont val="Verdana"/>
        <family val="2"/>
      </rPr>
      <t xml:space="preserve"> and SO (Sulphur Trioxide and Sulphur Monoxide).</t>
    </r>
  </si>
  <si>
    <t>Volatile organic compounds/chemicals (VOCs) are a large group of organic chemicals that include any compound of carbon (excluding carbon monoxide, carbon dioxide, carbonic acid, metallic carbides or carbonates, and ammonium carbonate). Full details behind VOC can be found on technical websites such as https://www.epa.gov/indoor-air-quality-iaq/technical-overview-volatile-organic-compounds</t>
  </si>
  <si>
    <r>
      <t>Coverage for NO</t>
    </r>
    <r>
      <rPr>
        <vertAlign val="subscript"/>
        <sz val="11"/>
        <rFont val="Verdana"/>
        <family val="2"/>
      </rPr>
      <t>x</t>
    </r>
    <r>
      <rPr>
        <sz val="11"/>
        <rFont val="Verdana"/>
        <family val="2"/>
      </rPr>
      <t xml:space="preserve"> reporting</t>
    </r>
  </si>
  <si>
    <r>
      <t>This represents the percentage of JM operational sites reporting NO</t>
    </r>
    <r>
      <rPr>
        <vertAlign val="subscript"/>
        <sz val="11"/>
        <rFont val="Verdana"/>
        <family val="2"/>
      </rPr>
      <t>x</t>
    </r>
    <r>
      <rPr>
        <sz val="11"/>
        <rFont val="Verdana"/>
        <family val="2"/>
      </rPr>
      <t xml:space="preserve"> values.</t>
    </r>
  </si>
  <si>
    <r>
      <t>Coverage for SO</t>
    </r>
    <r>
      <rPr>
        <vertAlign val="subscript"/>
        <sz val="11"/>
        <rFont val="Verdana"/>
        <family val="2"/>
      </rPr>
      <t>x</t>
    </r>
    <r>
      <rPr>
        <sz val="11"/>
        <rFont val="Verdana"/>
        <family val="2"/>
      </rPr>
      <t xml:space="preserve"> reporting</t>
    </r>
  </si>
  <si>
    <r>
      <t>This represents the percentage of JM operational sites reporting SO</t>
    </r>
    <r>
      <rPr>
        <vertAlign val="subscript"/>
        <sz val="11"/>
        <rFont val="Verdana"/>
        <family val="2"/>
      </rPr>
      <t>x</t>
    </r>
    <r>
      <rPr>
        <sz val="11"/>
        <rFont val="Verdana"/>
        <family val="2"/>
      </rPr>
      <t xml:space="preserve"> values.</t>
    </r>
  </si>
  <si>
    <t>This represents the percentage of JM operational sites reporting VOCs values.</t>
  </si>
  <si>
    <t>Energy Use</t>
  </si>
  <si>
    <t xml:space="preserve">Energy consumption and efficiency </t>
  </si>
  <si>
    <t>This is the total energy consumed by JM (expressed in MWh in the operations that it controls. Energy can be from fuels and covers Natural Gas, Diesel, Gasoline, LPG, LNG and fuel oil. Energyu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t>
  </si>
  <si>
    <t>Total energy efficiency</t>
  </si>
  <si>
    <t>This is the total energy used by the business divided by amount of materials sold to customers.</t>
  </si>
  <si>
    <t>MWh/tonne</t>
  </si>
  <si>
    <t>Energy indicators (KPIs)</t>
  </si>
  <si>
    <t>Total
FY2022/23</t>
  </si>
  <si>
    <t>Total
FY2021/22</t>
  </si>
  <si>
    <t>Total*
FY2020/21</t>
  </si>
  <si>
    <t>Total
FY2019/20</t>
  </si>
  <si>
    <t>1. Total energy consumption</t>
  </si>
  <si>
    <t>This is the total energy consumed by JM (expressed in GJ)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t>
  </si>
  <si>
    <t>GJ</t>
  </si>
  <si>
    <t>2. Total Electricity consumption</t>
  </si>
  <si>
    <t>This is the total amount of electrical energy used on site (expressed in GJ) and includes all grid supplied electricity. It also includes 100% Renewable Electricity (NOT grid connected) purchased locally from 3rd party generator - Electricity which is generated locally from renewable sources either on or directly connected to a JM site (e.g. solar, wind, hydro…). The facility will be owned and operated by a 3rd party. It also includes 100% renewable electricity generated from facility owned &amp; operated by JM - This will be generated from an installation owned and operated by JM staff. It also includes all non renewable elctrical energy generated by JM on site (i.e. not provided from an external grid).</t>
  </si>
  <si>
    <t>3. Total Natural gas consumption</t>
  </si>
  <si>
    <t>This is the energy from natural gas use (expressed as GJ) that is used within JM processes. The gas use my be reported as an energy amount (id billed in that way) or the natural gas usage gas is converted to energy by applying a calorific value to s metered volume of gas used. Calorific values are taken from the miost up to date DEFRA conversion factors data at the time of reporting.</t>
  </si>
  <si>
    <t>4. Total non-renewable energy consumption</t>
  </si>
  <si>
    <t>This is the total non renewable energy consumed by JM (expressed in Gj)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
This is calculated by taking the total energy consumption and subtracting the renewable energy consumption.</t>
  </si>
  <si>
    <t>a) Non-renewable fuels purchased and consumed</t>
  </si>
  <si>
    <t>This is the total energy consumed by JM (expressed in Gj) in the operations that it controls. Energy from non renewable fuels and covers Natural Gas, Diesel, Gasoline, LPG, LNG and fuel oil. The volume or weight of the fuel is converted into an energy value by applying calorific values sourced from the most up to date version of the DEFRA emissions factors data set.</t>
  </si>
  <si>
    <t>b) Non-renewable electricity purchased</t>
  </si>
  <si>
    <t>This is the total of non renewable electrical energy (expressed as GJ) purchased from a grid that is consumed for site operations. Values are taken from supplier invoices that cover the time period in question.</t>
  </si>
  <si>
    <t>c) Steam/heating/cooling and other energy (non-renewable) purchased</t>
  </si>
  <si>
    <t>This is the steam energy (expressed as GJ) purchased from a supplier and not produced on a JM site. The steam is supplied by consuming non renewable energy sources by the supplier.  The steam is supplied as a weight and this is converted to an energy using temperatures, pressures and latent heat of the supplied energy.</t>
  </si>
  <si>
    <t>d) Non-renewable energy from the fuel used or mileage travelled by JM controlled vehicles on company business</t>
  </si>
  <si>
    <t xml:space="preserve">This is the energy used from either the direct fuel used or mileage traveled by JM vehicles or JM employees in road vehicles when on company business. </t>
  </si>
  <si>
    <t>n/a</t>
  </si>
  <si>
    <t>5. Total renewable energy purchased or generated</t>
  </si>
  <si>
    <t>This is the total amount of renewable energy (expressed as GJ) supplied to site or generated on site for use in our operations. The energy is certified renewable or is purchased as a renewable supply.</t>
  </si>
  <si>
    <t>This is the total energy consumed by JM (expressed in kWh)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t>
  </si>
  <si>
    <t>This is the total amount of electrical energy used on site (expressed in kWh) and includes all grid supplied electricity. It also includes 100% Renewable Electricity (NOT grid connected) purchased locally from 3rd party generator - Electricity which is generated locally from renewable sources either on or directly connected to a JM site (e.g. solar, wind, hydro…). The facility will be owned and operated by a 3rd party. It also includes 100% renewable electricity generated from facility owned &amp; operated by JM - This will be generated from an installation owned and operated by JM staff. It also includes all non renewable elctrical energy generated by JM on site (i.e. not provided from an external grid).</t>
  </si>
  <si>
    <t>This is the energy from natural gas use (expressed as kWh) that is used within JM processes. The gas use my be reported as an energy amount (id billed in that way) or the natural gas usage gas is converted to energy by applying a calorific value to s metered volume of gas used. Calorific values are taken from the miost up to date DEFRA conversion factors data at the time of reporting.</t>
  </si>
  <si>
    <t>This is the total non renewable energy consumed by JM (expressed in kWh)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
This is calculated by taking the total energy consumption and subtracting the renewable energy consumption.</t>
  </si>
  <si>
    <t>This is the total of non renewable electrical energy (expressed as kWh) purchased from a grid that is consumed for site operations. Values are taken from supplier invoices that cover the time period in question.</t>
  </si>
  <si>
    <t>This is the steam energy (expressed as kWh) purchased from a supplier and not produced on a JM site. The steam is supplied by consuming non renewable energy sources by the supplier.  The steam is supplied as a weight and this is converted to an energy using temperatures, pressures and latent heat of the supplied energy.</t>
  </si>
  <si>
    <t>This is the total amount of renewable electricity supplied to site or generated on site as a percentage of the total electricity used by JM. The total amount includes non renewable electricity generated by JM on our own sites as well as all electricit supplied to JM through  grid or direct connection.</t>
  </si>
  <si>
    <t>(%)</t>
  </si>
  <si>
    <t>Compliance with environmental laws and regulations</t>
  </si>
  <si>
    <t>Definition / Calculation methodology</t>
  </si>
  <si>
    <t>Total monetary value of significant fines</t>
  </si>
  <si>
    <t>Significant fines during the year</t>
  </si>
  <si>
    <t>£</t>
  </si>
  <si>
    <t>Performance against prior year</t>
  </si>
  <si>
    <t>Performance against 2019/20 baseline</t>
  </si>
  <si>
    <t>Progress towards 2030 target</t>
  </si>
  <si>
    <t>This is our operational GHG footprint using the Scope 1 emissions and the market based Scope 2 emissions as stated above.</t>
  </si>
  <si>
    <t>This is our operational GHG footprint using the Scope 1 emissions and the location based Scope 2 emissions as stated above.</t>
  </si>
  <si>
    <r>
      <t>tonnes CO</t>
    </r>
    <r>
      <rPr>
        <b/>
        <vertAlign val="subscript"/>
        <sz val="11"/>
        <rFont val="Verdana"/>
        <family val="2"/>
      </rPr>
      <t>2</t>
    </r>
    <r>
      <rPr>
        <b/>
        <sz val="11"/>
        <rFont val="Verdana"/>
        <family val="2"/>
      </rPr>
      <t>e/tonne sales</t>
    </r>
  </si>
  <si>
    <t xml:space="preserve">Pie chart data </t>
  </si>
  <si>
    <t>Scope 1</t>
  </si>
  <si>
    <t>Scope 2</t>
  </si>
  <si>
    <t>Scope 3 - Purchased goods and services</t>
  </si>
  <si>
    <t>Scope 3- All other categories</t>
  </si>
  <si>
    <t>Total water returned to the source of extraction at similar or higher quality as raw water extracted</t>
  </si>
  <si>
    <t>This is wastewater that is returned to its original source and is of equal or higher quality than the water that was originally extracted. In JM we only consider water returned to fresh surface water (lakes, rivers etc) or fresh ground water for this indicator.</t>
  </si>
  <si>
    <t>Average COD of wastewater discharge</t>
  </si>
  <si>
    <t xml:space="preserve">This represents all hazardous waste that is generated and then sent offsite for treatment. Hazardous waste is material deemed hazardous under the terms of the Basel Convention Annex I, II, III, 179 and VIII.  </t>
  </si>
  <si>
    <t>Types of off site waste treatment</t>
  </si>
  <si>
    <t>Reuse</t>
  </si>
  <si>
    <r>
      <t>Total non-hazardous waste disposed</t>
    </r>
    <r>
      <rPr>
        <b/>
        <vertAlign val="superscript"/>
        <sz val="11"/>
        <color theme="3"/>
        <rFont val="Verdana"/>
        <family val="2"/>
      </rPr>
      <t>7</t>
    </r>
  </si>
  <si>
    <t>recycling</t>
  </si>
  <si>
    <t>off site incineration with energy recovery</t>
  </si>
  <si>
    <t>Hazardous waste disposed through incineration without energy recovery</t>
  </si>
  <si>
    <t>Incineration or other off site treatment</t>
  </si>
  <si>
    <t>total waste disposed to landfill</t>
  </si>
  <si>
    <t>total waste sent off site</t>
  </si>
  <si>
    <t>Non-hazardous waste reused</t>
  </si>
  <si>
    <t>Hazardous waste reused</t>
  </si>
  <si>
    <t>The total waste reported as  "reused"  and recycled where reused is the beneficiary takes the material at no cost to JM (including paying for transportation off the JM site). If JM pays the cost of transport, then it should be reported as "recycled" rather than re-used.  Recycled waste is material that can be recovered and then used again in place of virgin raw materials.</t>
  </si>
  <si>
    <t xml:space="preserve">Non-hazardous waste recycled and reused  </t>
  </si>
  <si>
    <t xml:space="preserve">Hazardous waste recycled and reused  </t>
  </si>
  <si>
    <t xml:space="preserve">Total waste recycled and reused </t>
  </si>
  <si>
    <t>Total solid waste sent off site to be reused</t>
  </si>
  <si>
    <t>Total solid waste sent off site to be recycled</t>
  </si>
  <si>
    <t>This is the total energy consumed by JM (expressed in Gj)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t>
  </si>
  <si>
    <t>This is the total non renewable energy consumed by JM (expressed in GJ) in the operations that it controls. Energy can be from fuels and covers Natural Gas, Diesel, Gasoline, LPG, LNG and fuel oil. Energy from Electricity is also counted except where fuels reported by JM have been used to generate the electricity at a JM facility. Energy use includes steam that has been imported onto site and generated by a supplier. Steam produced by JM using fuels reported is not included in this figure.
This is calculated by taking the total energy consumption and subtracting the renewable energy consumption.</t>
  </si>
  <si>
    <t>Non-renewable, grid-supplied electricity</t>
  </si>
  <si>
    <t>Certified renewable electricity from the grid</t>
  </si>
  <si>
    <t>Renewable electricity generated locally</t>
  </si>
  <si>
    <t>Natural gas used on site</t>
  </si>
  <si>
    <t>Non-renewable steam procured</t>
  </si>
  <si>
    <t>Fuel used on public roads by JM vehicles on company business</t>
  </si>
  <si>
    <t>Total (MWh)</t>
  </si>
  <si>
    <t>Health and Safety KPI</t>
  </si>
  <si>
    <t>Definition</t>
  </si>
  <si>
    <t>FY2022/23</t>
  </si>
  <si>
    <t>FY2021/22</t>
  </si>
  <si>
    <t>FY2020/21</t>
  </si>
  <si>
    <t>FY2019/20</t>
  </si>
  <si>
    <t>Employees</t>
  </si>
  <si>
    <t>Contractors</t>
  </si>
  <si>
    <t>Annual OSHA severity rate</t>
  </si>
  <si>
    <t>days lost * 200,000 / annual worked hrs</t>
  </si>
  <si>
    <t>No data available</t>
  </si>
  <si>
    <t>Total recordable injury and illness rate (TRIIR)</t>
  </si>
  <si>
    <t>-</t>
  </si>
  <si>
    <t>Lost Time Injury Frequency Rate (LTIFR)</t>
  </si>
  <si>
    <t>Lost Time Injury and Illness Rate (LTIIR)</t>
  </si>
  <si>
    <t>Occupational Illness Frequency Rate (OIFR)</t>
  </si>
  <si>
    <t>Notes:</t>
  </si>
  <si>
    <t>LTIFR employees</t>
  </si>
  <si>
    <t>Lost time injury frequency rate, includes permanent and temporary employees</t>
  </si>
  <si>
    <t>LTIFR contractors</t>
  </si>
  <si>
    <t>Lost time injury frequency rate, includes contractors</t>
  </si>
  <si>
    <t>LTIIR employees</t>
  </si>
  <si>
    <t>Lost time injury and illness rate, includes permanent and temporary employees</t>
  </si>
  <si>
    <t>LTIIR contractors</t>
  </si>
  <si>
    <t>Lost time injury and illness rate, includes contractors</t>
  </si>
  <si>
    <t>2018/19</t>
  </si>
  <si>
    <t>Lost Time Injury and Illness Rate(LTIIR) 
employees + contractors</t>
  </si>
  <si>
    <t xml:space="preserve">Permanent and temporary employees - LTIIR </t>
  </si>
  <si>
    <t xml:space="preserve">Contractors - LTIIR </t>
  </si>
  <si>
    <t>Total Recordable Injury and Illness Rate(TRIIR)
employees + contractors</t>
  </si>
  <si>
    <t xml:space="preserve">Permanent and temporary employees - TRIIR </t>
  </si>
  <si>
    <t xml:space="preserve">Contractors - TRIIR </t>
  </si>
  <si>
    <t>ICCA - Process Safety Event Severity Rate (PSESR)</t>
  </si>
  <si>
    <t>Tier 1 Process Safety events</t>
  </si>
  <si>
    <t>Tier 1 events</t>
  </si>
  <si>
    <t>Hours worked</t>
  </si>
  <si>
    <t>million hrs</t>
  </si>
  <si>
    <t>Number of employee fatalities</t>
  </si>
  <si>
    <t>#</t>
  </si>
  <si>
    <t>Number of contractor fatalities</t>
  </si>
  <si>
    <t>Number of third party fatalities involving members of the public</t>
  </si>
  <si>
    <t>We have 23 active trade unions on our sites and 22 have representation on their Local health and safety committee. A total of 22 sites have formal trade union agreements that cover health and safety topics, as shown in the table below:</t>
  </si>
  <si>
    <t>% sites covered</t>
  </si>
  <si>
    <t>Personal Protective Equipment</t>
  </si>
  <si>
    <t>Participation of worker representatives in health and safety</t>
  </si>
  <si>
    <t>Complaints mechanisms</t>
  </si>
  <si>
    <t>The right to refuse unsafe work</t>
  </si>
  <si>
    <t>Periodic inspections</t>
  </si>
  <si>
    <t xml:space="preserve">The data below represents Johnson Matthey's People information as at 31st March 2023 (for 2022/23) and is reported on the basis of our Basis of Reporting 2022/23 which can be found on our website at XXXX </t>
  </si>
  <si>
    <t>Reported as "Employees"</t>
  </si>
  <si>
    <t>Percentage of female representation
2022/22</t>
  </si>
  <si>
    <t>Performance against 2030 target</t>
  </si>
  <si>
    <t>Gender</t>
  </si>
  <si>
    <t>Female</t>
  </si>
  <si>
    <t>Male</t>
  </si>
  <si>
    <t>m</t>
  </si>
  <si>
    <t>Permanent employees</t>
  </si>
  <si>
    <t xml:space="preserve">UK </t>
  </si>
  <si>
    <t>Continuously site based
Contract signed directly between JM and individual and paid regular salary and other benefits by JM
Work is directly supervised by JM - paid via payroll</t>
  </si>
  <si>
    <t>Rest of Europe</t>
  </si>
  <si>
    <t>North America</t>
  </si>
  <si>
    <t>Asia</t>
  </si>
  <si>
    <t>Rest of World</t>
  </si>
  <si>
    <t>Globally</t>
  </si>
  <si>
    <t>Temporary employees</t>
  </si>
  <si>
    <t>Continuously site based
Fixed term contract signed directly between JM and individual and paid regular salary and other benefits by JM
Work is directly supervised by JM - paid via payroll</t>
  </si>
  <si>
    <t>Europe</t>
  </si>
  <si>
    <t>China</t>
  </si>
  <si>
    <t>Rest of Asia</t>
  </si>
  <si>
    <t>Total number of employees</t>
  </si>
  <si>
    <t>Excludes Non Executive Board members, Agency Staff and contingent workers</t>
  </si>
  <si>
    <t>Board</t>
  </si>
  <si>
    <t>Members of the Board</t>
  </si>
  <si>
    <t>Group leadership team (GLT)</t>
  </si>
  <si>
    <t>JM's Group Leadership Team (GLT)</t>
  </si>
  <si>
    <t>Subsidiary Directors</t>
  </si>
  <si>
    <t>Individuals appointed to the boards of JM's other legal entities, other than JMPLC</t>
  </si>
  <si>
    <t>Senior managers</t>
  </si>
  <si>
    <t xml:space="preserve">Within JM our senior managers are defined as direct reports of the GLT. </t>
  </si>
  <si>
    <r>
      <t xml:space="preserve">All management levels 
</t>
    </r>
    <r>
      <rPr>
        <b/>
        <sz val="10"/>
        <color theme="4"/>
        <rFont val="Verdana"/>
        <family val="2"/>
      </rPr>
      <t>Our Goal of &gt;40% female representation across all management levels by 2030</t>
    </r>
  </si>
  <si>
    <t>All employees whether they are a People manager or not at a minimum pay grade</t>
  </si>
  <si>
    <t>New recruits</t>
  </si>
  <si>
    <t>Board members between 40-49 years of age</t>
  </si>
  <si>
    <t>Board members between 50-59 years of age</t>
  </si>
  <si>
    <t>Board members between 60-65 years of age</t>
  </si>
  <si>
    <t>Board members age 65 plus</t>
  </si>
  <si>
    <t>Total Board members</t>
  </si>
  <si>
    <t>Employees under 30 years of age</t>
  </si>
  <si>
    <r>
      <t xml:space="preserve">Excludes Board members
</t>
    </r>
    <r>
      <rPr>
        <sz val="10"/>
        <color rgb="FFFF0000"/>
        <rFont val="Verdana"/>
        <family val="2"/>
      </rPr>
      <t xml:space="preserve">
</t>
    </r>
    <r>
      <rPr>
        <sz val="10"/>
        <color theme="5"/>
        <rFont val="Verdana"/>
        <family val="2"/>
      </rPr>
      <t>2022 and 2021 categories different
employees under 30 years of age
employees aged between 30-50 
employees aged over 50</t>
    </r>
  </si>
  <si>
    <t>Employees beteween 30-45 years of age</t>
  </si>
  <si>
    <t>Employees between 46-60 years of age</t>
  </si>
  <si>
    <t>Employees over 60 years of age</t>
  </si>
  <si>
    <t>Age not known for 201 employees in 2022/23
Age disclosure is voluntary</t>
  </si>
  <si>
    <t>External joiners</t>
  </si>
  <si>
    <t>Voluntary permanent employee leavers</t>
  </si>
  <si>
    <t>Resignation only</t>
  </si>
  <si>
    <t>Involuntary permanent employee leavers</t>
  </si>
  <si>
    <t>Employee turnover rate initiated by employer (in 2022/23 there were 0 compulsory redundancies in JM)</t>
  </si>
  <si>
    <t>Involuntary permanent employee leavers excl Health</t>
  </si>
  <si>
    <t>Voluntary permanent employee leavers turnover rate</t>
  </si>
  <si>
    <t>Resignation only
Number of leavers over last 12 months divided by average headcount as at data points 1 April 2022 and 31 March 2023</t>
  </si>
  <si>
    <t>Involuntary permanent employee leavers turnover rate</t>
  </si>
  <si>
    <t>Employee turnover rate initiated by employer  (in 2022/23 there were 0 compulsory redundancies in JM)
Number of leavers over last 12 months divided by average headcount as at data points 1 April 2022 and 31 March 2023</t>
  </si>
  <si>
    <t>Involuntary permanent employee leavers turnover rate excl Health</t>
  </si>
  <si>
    <t>Total permanent employee leavers turnover Incl Health</t>
  </si>
  <si>
    <t>Voluntary and involuntary leavers
Number of leavers over last 12 months divided by average headcount as at data points 1 April 2022 and 31 March 2023</t>
  </si>
  <si>
    <t>Total permanent employee leavers turnover Excl Health</t>
  </si>
  <si>
    <t xml:space="preserve">The UK Corporate Governance Code 2018 requires companies to disclose the gender balance of senior management, which is defined in the Code as a company’s executive committee and the Company Secretary, the statistics for this are included in the GLT row above. Some individuals are included in more than one category. </t>
  </si>
  <si>
    <t>Reported as "Contractors"</t>
  </si>
  <si>
    <t xml:space="preserve">Outsourced Function </t>
  </si>
  <si>
    <t>Continuously or regularly site based
Facility management - catering, cleaning or grounds maintenance; IT and occupational health, if outsourced.
Work is supervised by contractor and monitored by JM</t>
  </si>
  <si>
    <t>Specialist Service</t>
  </si>
  <si>
    <t>One-off project or regularly based on site.
Small scale building or ground works; repairing specialistplant or equipment; low level maintenance; small scale repairs to offices or other buildings; stack monitoring.
Work is supervised by contractor and monitored by JM</t>
  </si>
  <si>
    <t>Projects</t>
  </si>
  <si>
    <t>One-off project
Construction work, capital project work, major maintenance activities.
Work is supervised by contractor and monitored by JM</t>
  </si>
  <si>
    <t>Number of contractors</t>
  </si>
  <si>
    <t>Workers who are not employees - data gathered via Workday</t>
  </si>
  <si>
    <t>A contingent worker is defined as an individual who is not on Johnson Matthey’s payroll, but performs tasks on Johnson Matthey's behalf. 
They are hired for a specific purpose and usually for a certain period of time e.g. Consultant,  Contractor, Vendor</t>
  </si>
  <si>
    <t>Key workforce stats</t>
  </si>
  <si>
    <t>Total workforce as at 31st March 2023</t>
  </si>
  <si>
    <t>Total number of employees and contractors - does not include Non Executive Board members and Agency Staff</t>
  </si>
  <si>
    <t>12 month average headcount</t>
  </si>
  <si>
    <t>12 month average headcount excl Health</t>
  </si>
  <si>
    <t>Reported as "Agency Staff"</t>
  </si>
  <si>
    <t>Agency staff</t>
  </si>
  <si>
    <t>Continuously site based
Person employed by an agency performing tasks that would normally be expected to be undertaken by a JM employee.
Work is directly supervised by JM - paid directly via invoices</t>
  </si>
  <si>
    <t>Union representation</t>
  </si>
  <si>
    <t>Total average number of employees (including health)</t>
  </si>
  <si>
    <t>Average number of employees represented</t>
  </si>
  <si>
    <t>% represented</t>
  </si>
  <si>
    <t>Average number of employees who were covered by a collective bargaining agreement and / or represented by a trade union</t>
  </si>
  <si>
    <t>Workforce globally</t>
  </si>
  <si>
    <t>Internal Promotion</t>
  </si>
  <si>
    <t>Parental Leave</t>
  </si>
  <si>
    <t>Total number of employees that were entitled to parental leave</t>
  </si>
  <si>
    <t>Total number of employees that took parental leave</t>
  </si>
  <si>
    <t>Total number of employees that returned to work in the reporting period after parental leave ended</t>
  </si>
  <si>
    <t>Total number of employees that returned to work after parental leave ended that were still employed 12 months after their return to work</t>
  </si>
  <si>
    <t>Return to work and retention rates of employees that took parental leave</t>
  </si>
  <si>
    <t>Work with Nicole Fraser</t>
  </si>
  <si>
    <t xml:space="preserve">Employee engagement </t>
  </si>
  <si>
    <t>Updated #s</t>
  </si>
  <si>
    <t>Participation rate</t>
  </si>
  <si>
    <t>Based on employee response to yourSay survey</t>
  </si>
  <si>
    <t>No survey</t>
  </si>
  <si>
    <t>Average score given by survey respondents in response to three engagement questions (engagement, loyalty, satisfaction) </t>
  </si>
  <si>
    <t>Training</t>
  </si>
  <si>
    <t>Julie Bolam</t>
  </si>
  <si>
    <t>Employee learning hours</t>
  </si>
  <si>
    <t xml:space="preserve">Average learning hours per employee
This is calculated from data gathered from 3 of our key sites. A programme to migrate learning record management to one global system is underway. </t>
  </si>
  <si>
    <t>Completed</t>
  </si>
  <si>
    <t>Did not complete</t>
  </si>
  <si>
    <t>Total employee assigned</t>
  </si>
  <si>
    <t>% employee completed</t>
  </si>
  <si>
    <t>Catalyst Technologies</t>
  </si>
  <si>
    <t>Clean Air</t>
  </si>
  <si>
    <t>Group</t>
  </si>
  <si>
    <t>Hydrogen Technologies</t>
  </si>
  <si>
    <t>Platinum Group Metal Services</t>
  </si>
  <si>
    <t>Value Businesses</t>
  </si>
  <si>
    <t>(blank)</t>
  </si>
  <si>
    <t>Competition Law Training Course</t>
  </si>
  <si>
    <t>A new course for 2022/23 
The training was assigned to all JM employees at a certain level and above, plus to customer facing roles in Commercial and Procurement.</t>
  </si>
  <si>
    <t>Open</t>
  </si>
  <si>
    <t>Anti Bribery and Corruption Course</t>
  </si>
  <si>
    <t xml:space="preserve">Launched January 2022 and available to complete until 31 December 2022
Data shown here is from 1st April 2022 to 31st December 2022 </t>
  </si>
  <si>
    <t>Automatically Waived</t>
  </si>
  <si>
    <t>Code of Ethics 2022</t>
  </si>
  <si>
    <t>Speak Up reports 2022/23</t>
  </si>
  <si>
    <t>Speak Up reports 2021/22</t>
  </si>
  <si>
    <t>Speak Up reports 2020/21</t>
  </si>
  <si>
    <t>Speak Up reports 2019/20</t>
  </si>
  <si>
    <t>Concern/allegation*</t>
  </si>
  <si>
    <t>Number of cases</t>
  </si>
  <si>
    <t>Concern/allegation</t>
  </si>
  <si>
    <t>Bribery and corruption</t>
  </si>
  <si>
    <t>Conflict of interest</t>
  </si>
  <si>
    <t xml:space="preserve">Business and financial reporting </t>
  </si>
  <si>
    <t>Discrimination, including harassment and retaliation</t>
  </si>
  <si>
    <t>Competition / anti-trust</t>
  </si>
  <si>
    <t>Computer, email and internet use</t>
  </si>
  <si>
    <t>Employee rights</t>
  </si>
  <si>
    <t>Confidential information and intellectual property</t>
  </si>
  <si>
    <t>Enquiry</t>
  </si>
  <si>
    <t>Environmental protection, product stewardship or health and safety</t>
  </si>
  <si>
    <t>Discrimination including harassment and retaliation</t>
  </si>
  <si>
    <t>Financial crime</t>
  </si>
  <si>
    <t>Insider trading, financial reporting and other securities violations</t>
  </si>
  <si>
    <t>Other or general enquiry</t>
  </si>
  <si>
    <t>Other</t>
  </si>
  <si>
    <t>Theft or misuse of assets</t>
  </si>
  <si>
    <t>Insider trading</t>
  </si>
  <si>
    <t>Fraud, money laundering and embezzlement</t>
  </si>
  <si>
    <t>Trade and export controls</t>
  </si>
  <si>
    <t>Misconduct or inappropriate behaviour</t>
  </si>
  <si>
    <t>Physical assets</t>
  </si>
  <si>
    <t>Substance abuse</t>
  </si>
  <si>
    <t>Theft</t>
  </si>
  <si>
    <t>Violence or threats</t>
  </si>
  <si>
    <t>Recommendations following closed investigated reports in 2022/23</t>
  </si>
  <si>
    <t>please note there could be more than one recommendation per report, or some cases none</t>
  </si>
  <si>
    <t>Separation with employee</t>
  </si>
  <si>
    <t>Verbal or written warning</t>
  </si>
  <si>
    <t>Coaching / training</t>
  </si>
  <si>
    <t>Communication</t>
  </si>
  <si>
    <t>Internal review of processes</t>
  </si>
  <si>
    <t>Update / create new standards / controls</t>
  </si>
  <si>
    <t>Senior leadership or management actions</t>
  </si>
  <si>
    <t>Remedy for the reporter</t>
  </si>
  <si>
    <t>We at Johnson Matthey believe that Community investment helps us to connect with each other and our local communities</t>
  </si>
  <si>
    <t>Community investment summary</t>
  </si>
  <si>
    <t xml:space="preserve">Definition </t>
  </si>
  <si>
    <t>% change</t>
  </si>
  <si>
    <t>Direct expenditure</t>
  </si>
  <si>
    <t>Through monetary donations</t>
  </si>
  <si>
    <t>£'000</t>
  </si>
  <si>
    <t>Indirect expenditure</t>
  </si>
  <si>
    <t>Through volunteering days</t>
  </si>
  <si>
    <t>Volunteering Days</t>
  </si>
  <si>
    <t>Days of corporate volunteering</t>
  </si>
  <si>
    <t># of days</t>
  </si>
  <si>
    <t>Supplier code of conduct | Johnson Matthey</t>
  </si>
  <si>
    <t>Environmental</t>
  </si>
  <si>
    <t>Supplier code of conduct - Section 2</t>
  </si>
  <si>
    <t>Supplier code of conduct - Section 4</t>
  </si>
  <si>
    <t xml:space="preserve">Social Criteria </t>
  </si>
  <si>
    <t xml:space="preserve">Supplier code of conduct - Section 1 </t>
  </si>
  <si>
    <t>Supplier code of conduct - Section 3</t>
  </si>
  <si>
    <t>ARA p.2, 218-221, 234</t>
  </si>
  <si>
    <t>ARA p.133-143, 228-230</t>
  </si>
  <si>
    <t>Material Topics</t>
  </si>
  <si>
    <t>Climate Change</t>
  </si>
  <si>
    <t>Air Emissions</t>
  </si>
  <si>
    <t>Water and wastewater</t>
  </si>
  <si>
    <t>Waste management</t>
  </si>
  <si>
    <t>Circularity and product innovation</t>
  </si>
  <si>
    <t>Human rights</t>
  </si>
  <si>
    <t>Diversity and inclusion</t>
  </si>
  <si>
    <t>Community impact</t>
  </si>
  <si>
    <t>Responsible sourcing</t>
  </si>
  <si>
    <t>Governance and risk management</t>
  </si>
  <si>
    <t xml:space="preserve">In July 2022 we partnered with a third party to refresh our materiality assessment. They reviewed public domain opinions of our investors, customers and social media users, as well as interviewing leaders inside JM. 
</t>
  </si>
  <si>
    <t>Our material topics were identified as:</t>
  </si>
  <si>
    <t>% recycled PGM</t>
  </si>
  <si>
    <r>
      <t>An internal promotion happens </t>
    </r>
    <r>
      <rPr>
        <sz val="10"/>
        <color rgb="FF040C28"/>
        <rFont val="Verdana"/>
        <family val="2"/>
      </rPr>
      <t>when an internal candidate is promoted to a new position — instead of the organization hiring an external candidate</t>
    </r>
    <r>
      <rPr>
        <sz val="10"/>
        <color rgb="FF202124"/>
        <rFont val="Verdana"/>
        <family val="2"/>
      </rPr>
      <t>. </t>
    </r>
  </si>
  <si>
    <t>% promoted</t>
  </si>
  <si>
    <t xml:space="preserve">Employee’s gender is determined based on their registered gender at birth or otherwise legally recognised gender as disclosed by the employee.  </t>
  </si>
  <si>
    <t>Johnson Matthey reports in alignment with the requirements of the SASB Sustainability Accounting Standard for Chemicals (Version 2018-10)</t>
  </si>
  <si>
    <t>ARA p.73-105</t>
  </si>
  <si>
    <t>ARA p.74, 88-93</t>
  </si>
  <si>
    <t>ARA p.78</t>
  </si>
  <si>
    <t>ARA p.46, 79, 88-89</t>
  </si>
  <si>
    <t>ARA p.45-46, 82-83, 86-87</t>
  </si>
  <si>
    <t>Johnson Matthey Global Conflicts of Interest Policy</t>
  </si>
  <si>
    <t>ARA p.36-41, 79
SPD Ethics and compliance tab</t>
  </si>
  <si>
    <t>ARA p.80-81</t>
  </si>
  <si>
    <t>ARA p.87-89</t>
  </si>
  <si>
    <t>ARA p.103-117</t>
  </si>
  <si>
    <t>ARA p.103-127</t>
  </si>
  <si>
    <t>ARA p.41, 44, 49, 82</t>
  </si>
  <si>
    <t>ARA p.37, 114, 184
SPD People tab</t>
  </si>
  <si>
    <t>ARA p.24, 222
SPD Material Topics tab</t>
  </si>
  <si>
    <t>Johnson Matthey Policies</t>
  </si>
  <si>
    <t>Information unavailable/incomplete</t>
  </si>
  <si>
    <t>ARA p.26-28, 
SPD Environment tab</t>
  </si>
  <si>
    <t>ARA p.30-31, 226
SPD Environment tab</t>
  </si>
  <si>
    <t>ARA p.33-34
SPD Health and Safety tab</t>
  </si>
  <si>
    <t>Johnson Matthey Environmental, Health and Safety Policy Statement</t>
  </si>
  <si>
    <t>Johnson Matthey Gender Pay Gap Report 2022</t>
  </si>
  <si>
    <t>ARA p.39-40, 42-43, 71</t>
  </si>
  <si>
    <t>ARA p.129</t>
  </si>
  <si>
    <t>ARA p.32</t>
  </si>
  <si>
    <t>(1) We have in place Product Stewardship Standards (within the EHS management framework) covering restricted substance management and new product introduction that require our businesses to review their existing portfolios and any new products against so-called ‘chemicals of concern’ listings and to identify opportunities to replace or reduce them in our operations and products. We have not set formal targets in this area at this time.  
(2) ARA p.32</t>
  </si>
  <si>
    <t xml:space="preserve">ARA p.32
We estimate that approximately 5% of sales are from products containing &gt;0.1% w/w of so-called Substances of Very High Concern, which are a subset of the substances classified in category 1 or 2 for health or environmental hazard classes. 
100% of JM products that meet the SASB GHS categories undergo human health and environmental hazard assessment.  
We have in place Product Stewardship Standards (within the EHS management framework) covering restricted substance management and new product introduction that require our businesses to review their existing portfolios and any new products against so-called ‘chemicals of concern’ listings and to identify opportunities to replace or reduce them in our operations and products. We have not set formal targets in this area at this time.  </t>
  </si>
  <si>
    <t xml:space="preserve">The Tees  </t>
  </si>
  <si>
    <t>ARA p.45-52</t>
  </si>
  <si>
    <t>ARA p.38-39
SPD Ethics and Compliance tab</t>
  </si>
  <si>
    <t>Johnson Matthey Global Tax Policy</t>
  </si>
  <si>
    <t>Johnson Matthey Tax Strategy</t>
  </si>
  <si>
    <t>Information not currently disclosed</t>
  </si>
  <si>
    <t>ARA p.48-50</t>
  </si>
  <si>
    <t>Performance and career development reviews</t>
  </si>
  <si>
    <t>Permanent Employees</t>
  </si>
  <si>
    <t>Temporary Employees</t>
  </si>
  <si>
    <t>Includes perm employees and temp employees with contracts over 3months.</t>
  </si>
  <si>
    <t>Automatically Waived - 
employee left JM</t>
  </si>
  <si>
    <t>This has a slightly lower coverage in the data sets available from providers
Issuers could provide clear data points to help with this calculation (e.g. enterprise value)</t>
  </si>
  <si>
    <t>50%</t>
  </si>
  <si>
    <t>0%</t>
  </si>
  <si>
    <t>Workday has only been in for a year as at end of March, there is no data on employees still being employed 12 months after they returned to work.</t>
  </si>
  <si>
    <t>many are still on parental leave so for returned to work and retention it is not possible to complete the data for them</t>
  </si>
  <si>
    <t>Query with leadership?</t>
  </si>
  <si>
    <t>Employees receiving performance review = 92% in 2022/23</t>
  </si>
  <si>
    <t>Parental leave definition needed</t>
  </si>
  <si>
    <r>
      <t>tonnes CO</t>
    </r>
    <r>
      <rPr>
        <vertAlign val="subscript"/>
        <sz val="10"/>
        <color theme="1"/>
        <rFont val="Verdana"/>
        <family val="2"/>
      </rPr>
      <t>2</t>
    </r>
    <r>
      <rPr>
        <sz val="10"/>
        <color theme="1"/>
        <rFont val="Verdana"/>
        <family val="2"/>
      </rPr>
      <t>e</t>
    </r>
  </si>
  <si>
    <t>GHG intensity</t>
  </si>
  <si>
    <t>Total Scope 3 GHG emissions</t>
  </si>
  <si>
    <t>Total GHG emissions (sum of scope 1,2 and 3)</t>
  </si>
  <si>
    <t>Other fossil fuels used on site</t>
  </si>
  <si>
    <t xml:space="preserve">Not on UNGC watchlist </t>
  </si>
  <si>
    <t>To the best of our knowledge none of our product sales are used for / in controversial weapons</t>
  </si>
  <si>
    <t>Employee Engagement Score using Workday Peakon</t>
  </si>
  <si>
    <t>Employee Engagement Score using Korn Ferry</t>
  </si>
  <si>
    <t>All employees</t>
  </si>
  <si>
    <t>Tonnes of product sold</t>
  </si>
  <si>
    <t>Total products sold</t>
  </si>
  <si>
    <t xml:space="preserve">Global
Weight of product sold. </t>
  </si>
  <si>
    <t>tonnes of product sold</t>
  </si>
  <si>
    <t>ARA p.46-50</t>
  </si>
  <si>
    <t>ARA p.51</t>
  </si>
  <si>
    <t>Please see ERM CVS' full assurance statement on page 229-230 of our 2023 ARA for more details.</t>
  </si>
  <si>
    <t>It is essential that our employees, customers, suppliers and other stakeholders feel they can speak freely when they have an ethical concern. We have various channels for them to do this including our independent Speak Up line. The data below represents our Speak Up reports.</t>
  </si>
  <si>
    <t>*To simplify identification of issues raised consolidation has been made of some of the categories from 2021/22.</t>
  </si>
  <si>
    <r>
      <t xml:space="preserve">This is the total energy used by the business divided by </t>
    </r>
    <r>
      <rPr>
        <sz val="11"/>
        <color rgb="FFFF0000"/>
        <rFont val="Verdana"/>
        <family val="2"/>
      </rPr>
      <t>amount of materials sold to customers.</t>
    </r>
  </si>
  <si>
    <t>This is the total amount of wastewater that is discharged from all JM operations and includes wastewater that may require further treatment from municipal sewerage systems, water that requires no further treatment that is sent to brackish surface water and water that requires no treatment that is returned to the groundwater source from which it was originally extracted.</t>
  </si>
  <si>
    <t>ARA p.25</t>
  </si>
  <si>
    <t xml:space="preserve">We are committed to transparent disclosures of our emissions and we continue to enhance our reporting of all the Scopes as we continue to better understand the emissions from our operations and our supply chain. </t>
  </si>
  <si>
    <t>ARA p.33-34
SPD Health and safety tab</t>
  </si>
  <si>
    <t>PAI Category</t>
  </si>
  <si>
    <t>JM KPI</t>
  </si>
  <si>
    <t xml:space="preserve">% revenues from customers active in the fossil fuel sector </t>
  </si>
  <si>
    <t>We issue a gender pay gap report in accordance with UK law. In 2022/23 our UK gender pay gap was 5.6% which puts us ahead of the national average of 14.9%.</t>
  </si>
  <si>
    <t>ARA p.37, 75
SPD People tab</t>
  </si>
  <si>
    <t>Contact us | Johnson Matthey</t>
  </si>
  <si>
    <t xml:space="preserve"> 33% female </t>
  </si>
  <si>
    <t>% non renewable energy consumption compared to total energy consumption</t>
  </si>
  <si>
    <t>Scope 1+2+3 GHG intensity per £ million of revenue</t>
  </si>
  <si>
    <t>Tonnes of hazardous waste and radioactive waste generated</t>
  </si>
  <si>
    <t>Total energy consumption in GWh</t>
  </si>
  <si>
    <t>All Employees</t>
  </si>
  <si>
    <t>To the best of our knowledge we do not have any locations  in or near biodiversity sensitive areas as defined by Appendix D of Annex II to Commission Delegated Regulation (EU) 2021/2139</t>
  </si>
  <si>
    <t>We are a member of UNGC and have processes and compliance mechanisms to monitor compliance with UN Global Compact principles and OECD Guidelines for Multinational Enterprises</t>
  </si>
  <si>
    <t>% revenues involved in the manufacture or selling of controversial weapons</t>
  </si>
  <si>
    <t>Operations located in or near to biodiversity-sensitive areas where activities of those investee companies negatively affect those areas</t>
  </si>
  <si>
    <t>JM does not produce energy.
Non-renewable energy consumption is 83.2% of total energy consumption</t>
  </si>
  <si>
    <t>Average unadjusted gender pay gap</t>
  </si>
  <si>
    <t>ARA p.37</t>
  </si>
  <si>
    <t>ARA p.30, 224
SPD Environment tab</t>
  </si>
  <si>
    <t>See our UN Global Compact Progress</t>
  </si>
  <si>
    <t>ARA p.38</t>
  </si>
  <si>
    <t>data only available for UK employees</t>
  </si>
  <si>
    <t>1185.6 GWh</t>
  </si>
  <si>
    <t>41,860 tonnes</t>
  </si>
  <si>
    <t>ARA p.3, 27
SPD Environment tab</t>
  </si>
  <si>
    <t>ARA p.27
SPD Environment tab</t>
  </si>
  <si>
    <t>SPD Environment tab</t>
  </si>
  <si>
    <t>Forced or Compulsory Labor</t>
  </si>
  <si>
    <t>ARA p.168, Note 4</t>
  </si>
  <si>
    <r>
      <t xml:space="preserve">For more information on our methodology, please see our Basis of Reporting on pages 222-227 of our 2022/23 Annual Report and Accounts 
</t>
    </r>
    <r>
      <rPr>
        <b/>
        <sz val="12"/>
        <color theme="3"/>
        <rFont val="Verdana"/>
        <family val="2"/>
      </rPr>
      <t>Rebaseline statement: JM has updated the baseline data to take account of all businesses sold in the period from 1</t>
    </r>
    <r>
      <rPr>
        <b/>
        <vertAlign val="superscript"/>
        <sz val="12"/>
        <color theme="3"/>
        <rFont val="Verdana"/>
        <family val="2"/>
      </rPr>
      <t>st</t>
    </r>
    <r>
      <rPr>
        <b/>
        <sz val="12"/>
        <color theme="3"/>
        <rFont val="Verdana"/>
        <family val="2"/>
      </rPr>
      <t xml:space="preserve"> April 2019 through to 31</t>
    </r>
    <r>
      <rPr>
        <b/>
        <vertAlign val="superscript"/>
        <sz val="12"/>
        <color theme="3"/>
        <rFont val="Verdana"/>
        <family val="2"/>
      </rPr>
      <t>st</t>
    </r>
    <r>
      <rPr>
        <b/>
        <sz val="12"/>
        <color theme="3"/>
        <rFont val="Verdana"/>
        <family val="2"/>
      </rPr>
      <t xml:space="preserve"> March 2023. Data from the sold businesses have been removed from the rebaselined data set. Where JM has ceased operations voluntarily and sites have been closed then this data remains in the rebaselined data.</t>
    </r>
  </si>
  <si>
    <t>Total Scope 3 (all categories) GHG emissions</t>
  </si>
  <si>
    <t>Water discharge by destination</t>
  </si>
  <si>
    <t>% freshwater consumed in regions of high or extremely high baseline water stress</t>
  </si>
  <si>
    <t>Number of transport incidents</t>
  </si>
  <si>
    <t>SPD Health and safety tab</t>
  </si>
  <si>
    <t>Employees globally receiving regular performance and career development reviews with objectives set and signed off by managers</t>
  </si>
  <si>
    <t>3-3 Management of topic</t>
  </si>
  <si>
    <t>EcoVadis KPIs</t>
  </si>
  <si>
    <t>% procurement spend 2022/23</t>
  </si>
  <si>
    <t>% procurement spend 2021/22</t>
  </si>
  <si>
    <t>Suppliers who have current EcoVadis medal</t>
  </si>
  <si>
    <t>Suppliers who have a good score with EcoVadis but no medal due to adverse media in the past three years</t>
  </si>
  <si>
    <t>Suppliers with current EcoVadis rating below medal achieving level</t>
  </si>
  <si>
    <t>Suppliers without an active EcoVadis rating, have declined to share their rating or we have not yet requested it</t>
  </si>
  <si>
    <t>Number of supplier
risk identified
2022/23</t>
  </si>
  <si>
    <t>Number of supplier
risk identified
2021/22</t>
  </si>
  <si>
    <t>Areas of concern where risks were identified by low scores in EcoVadis</t>
  </si>
  <si>
    <t>Labour and Human Rights</t>
  </si>
  <si>
    <t>Ethics</t>
  </si>
  <si>
    <t>Sustainable Procurement</t>
  </si>
  <si>
    <t>Child Labour</t>
  </si>
  <si>
    <t>2030 Targets</t>
  </si>
  <si>
    <t>ARA p.103, 155, 183</t>
  </si>
  <si>
    <t>Johnson Matthey Anti-Bribery and Corruption Policy</t>
  </si>
  <si>
    <t>ARA p.23-24, 39-41, 71</t>
  </si>
  <si>
    <t>ARA p.38-39, 41 
SPD Ethics and compliance</t>
  </si>
  <si>
    <t>ARA p.24, 29-31, 226, 228-230</t>
  </si>
  <si>
    <t>ARA p.7, 16-18, 24, 29-30, 86, 106, 226</t>
  </si>
  <si>
    <t>ARA p.150-221</t>
  </si>
  <si>
    <t>ARA p.45-52, 150-221</t>
  </si>
  <si>
    <t>ARA p.7, 24, 26-28, 228-230</t>
  </si>
  <si>
    <t>ARA p.13, 14-15, 18, 20-22, 23-31, 49-52, 222-226, 228-230</t>
  </si>
  <si>
    <t>ARA p.IFC, 150, 218-221, 222</t>
  </si>
  <si>
    <t>ARA p.150, 222, 232</t>
  </si>
  <si>
    <t>ARA p.60, 155</t>
  </si>
  <si>
    <t>ARA p.2, 4-5, 8-9</t>
  </si>
  <si>
    <t>ARA p.2, 33-37, 173, 223, 228
SPD People tab</t>
  </si>
  <si>
    <t>ARA p.223
SPD People tab</t>
  </si>
  <si>
    <t>ARA p.74-83, 86-87</t>
  </si>
  <si>
    <t>ARA p.32, 36, 38, 44</t>
  </si>
  <si>
    <t>ARA p.23-24,29-31, 222, 225-226, 228-230</t>
  </si>
  <si>
    <t>ARA p.29-31, 228
SPD Environment tab</t>
  </si>
  <si>
    <t>ARA p.38-40
SPD Responsible Sourcing tab</t>
  </si>
  <si>
    <t>ARA p.24, 35-37</t>
  </si>
  <si>
    <t>ARA p.37, 114, 184</t>
  </si>
  <si>
    <t xml:space="preserve">ARA p.39 </t>
  </si>
  <si>
    <t>ARA p.39</t>
  </si>
  <si>
    <t>ARA p.39
SPD Responsible Sourcing tab</t>
  </si>
  <si>
    <t>ARA p.24, 33, 42-43</t>
  </si>
  <si>
    <t>ARA p.24, 33-37</t>
  </si>
  <si>
    <t>ARA p.33-34, 39, 41, 227-230</t>
  </si>
  <si>
    <t>ARA p.33-34, 39, 41, 227-230
SPD Health and Safety tab</t>
  </si>
  <si>
    <t>ARA p.27, 34-41</t>
  </si>
  <si>
    <t>ARA p.32, 41
SPD Ethics and Compliance tab</t>
  </si>
  <si>
    <t xml:space="preserve">ARA p.32, 38-41
We estimate that approximately 5% of sales are from products containing &gt;0.1% w/w of so-called Substances of Very High Concern, which are a subset of the substances classified in category 1 or 2 for health or environmental hazard classes. 
100% of JM products that meet the SASB GHS categories undergo human health and environmental hazard assessment.  
We have in place Product Stewardship Standards (within the EHS management framework) covering restricted substance management and new product introduction that require our businesses to review their existing portfolios and any new products against so-called ‘chemicals of concern’ listings and to identify opportunities to replace or reduce them in our operations and products. We have not set formal targets in this area at this time.  </t>
  </si>
  <si>
    <t>ARA p.71, 111, 128</t>
  </si>
  <si>
    <t>ARA p.30, 32, 36-40, 46-49, 71</t>
  </si>
  <si>
    <t>Lack of processes and compliance mechanisms to monitor compliance with UN Global Compact principles and OECD Guidelines for Multinational Enterprises</t>
  </si>
  <si>
    <t>Exposure to controversial weapons (anti-personnel mines, cluster munitions, chemical weapons and biological weapons)</t>
  </si>
  <si>
    <t>Tonnes of emissions of prioritiy substances to water (as defined in Article 2(30) of Directive 2000/60/EC of the European Parliament and and direct emissions of nitrates, phosphates and pesticides)</t>
  </si>
  <si>
    <r>
      <t>ARA p.222</t>
    </r>
    <r>
      <rPr>
        <sz val="10"/>
        <color rgb="FFFF0000"/>
        <rFont val="Verdana"/>
        <family val="2"/>
      </rPr>
      <t xml:space="preserve">
</t>
    </r>
    <r>
      <rPr>
        <sz val="10"/>
        <rFont val="Verdana"/>
        <family val="2"/>
      </rPr>
      <t>SPD Health and Safety tab
SPD Environment tab</t>
    </r>
  </si>
  <si>
    <t>Reduce our ICCA process safety severity rate to 0.4</t>
  </si>
  <si>
    <t>From the available analysis, the following quantities of priority substances are calculated as being discharged by JM directly to water courses
nickel = 1e-4 tonnes; cadmium =  4e-5 tonnes; lead 1e-4 tonnes; mercury =  6e-6 tonnes; nitrates = 0.1 tonnes</t>
  </si>
  <si>
    <t>Employees globally receiving regular performance and career development reviews with objectives set and signed off by managers
Note: some trade unions and collective bargaining agreements do not follow the process</t>
  </si>
  <si>
    <t>Governance and Risk</t>
  </si>
  <si>
    <t xml:space="preserve">Revenue </t>
  </si>
  <si>
    <t>Johnson Matthey Material Topic</t>
  </si>
  <si>
    <t>12 month average headcount excl Health*</t>
  </si>
  <si>
    <t xml:space="preserve">12 month average employees </t>
  </si>
  <si>
    <t>average or 31st March</t>
  </si>
  <si>
    <t>Reasons for omission are not permitted for the disclosure or that a GRI Sector Standard reference number is not available.</t>
  </si>
  <si>
    <t>£M</t>
  </si>
  <si>
    <t>*Health business was sold June 2022</t>
  </si>
  <si>
    <t>Total (Scope 1 + 2 + 3) GHG emissions</t>
  </si>
  <si>
    <t>Total (Scope 1 + 2 + 3) GHG intensity per tonne product sold</t>
  </si>
  <si>
    <t>Total (Scope 1 + 2 + 3) GHG intensity per £M revenue</t>
  </si>
  <si>
    <t>Age</t>
  </si>
  <si>
    <t>Employee Headcount by age</t>
  </si>
  <si>
    <t>Employee Turnover</t>
  </si>
  <si>
    <t>Contractors by region</t>
  </si>
  <si>
    <t>Agency Staff by region</t>
  </si>
  <si>
    <t>Employee average learning hours</t>
  </si>
  <si>
    <t>Certified renewable energy consumption</t>
  </si>
  <si>
    <t>Categorisation  of energy sources (KPIs)</t>
  </si>
  <si>
    <t>Total GHG emissions and intensity</t>
  </si>
  <si>
    <t>Methods of waste treatment applied by our third party providers</t>
  </si>
  <si>
    <t>Types of waste produced and sent off site for treatment by a third party</t>
  </si>
  <si>
    <t>Emissions to air</t>
  </si>
  <si>
    <r>
      <t>tonnes CO</t>
    </r>
    <r>
      <rPr>
        <vertAlign val="subscript"/>
        <sz val="12"/>
        <rFont val="Verdana"/>
        <family val="2"/>
      </rPr>
      <t>2</t>
    </r>
    <r>
      <rPr>
        <sz val="12"/>
        <rFont val="Verdana"/>
        <family val="2"/>
      </rPr>
      <t>e</t>
    </r>
  </si>
  <si>
    <r>
      <t>tonnes CO</t>
    </r>
    <r>
      <rPr>
        <b/>
        <vertAlign val="subscript"/>
        <sz val="12"/>
        <rFont val="Verdana"/>
        <family val="2"/>
      </rPr>
      <t>2</t>
    </r>
    <r>
      <rPr>
        <b/>
        <sz val="12"/>
        <rFont val="Verdana"/>
        <family val="2"/>
      </rPr>
      <t>e</t>
    </r>
  </si>
  <si>
    <r>
      <t>tonnes CO</t>
    </r>
    <r>
      <rPr>
        <vertAlign val="subscript"/>
        <sz val="12"/>
        <color rgb="FF000000"/>
        <rFont val="Verdana"/>
        <family val="2"/>
      </rPr>
      <t>2</t>
    </r>
    <r>
      <rPr>
        <sz val="12"/>
        <color rgb="FF000000"/>
        <rFont val="Verdana"/>
        <family val="2"/>
      </rPr>
      <t>e</t>
    </r>
  </si>
  <si>
    <r>
      <t>tonnes CO</t>
    </r>
    <r>
      <rPr>
        <b/>
        <vertAlign val="subscript"/>
        <sz val="12"/>
        <color rgb="FF000000"/>
        <rFont val="Verdana"/>
        <family val="2"/>
      </rPr>
      <t>2</t>
    </r>
    <r>
      <rPr>
        <b/>
        <sz val="12"/>
        <color rgb="FF000000"/>
        <rFont val="Verdana"/>
        <family val="2"/>
      </rPr>
      <t>e</t>
    </r>
  </si>
  <si>
    <r>
      <t>tonnes CO</t>
    </r>
    <r>
      <rPr>
        <vertAlign val="subscript"/>
        <sz val="12"/>
        <rFont val="Verdana"/>
        <family val="2"/>
      </rPr>
      <t>2</t>
    </r>
    <r>
      <rPr>
        <sz val="12"/>
        <rFont val="Verdana"/>
        <family val="2"/>
      </rPr>
      <t>e/tonne product</t>
    </r>
  </si>
  <si>
    <r>
      <t>tonnes CO</t>
    </r>
    <r>
      <rPr>
        <vertAlign val="subscript"/>
        <sz val="12"/>
        <rFont val="Verdana"/>
        <family val="2"/>
      </rPr>
      <t>2</t>
    </r>
    <r>
      <rPr>
        <sz val="12"/>
        <rFont val="Verdana"/>
        <family val="2"/>
      </rPr>
      <t>e/£M revenue</t>
    </r>
  </si>
  <si>
    <r>
      <t xml:space="preserve">All management levels 
</t>
    </r>
    <r>
      <rPr>
        <sz val="12"/>
        <color theme="4"/>
        <rFont val="Verdana"/>
        <family val="2"/>
      </rPr>
      <t>Our Goal of &gt;40% female representation across all management levels by 2030</t>
    </r>
  </si>
  <si>
    <t>Involuntary permanent employee leavers turnover rate*</t>
  </si>
  <si>
    <t>Total permanent employee leavers turnover rate*</t>
  </si>
  <si>
    <t>a) renewable electricity purchased or generated</t>
  </si>
  <si>
    <t xml:space="preserve">&lt;4% </t>
  </si>
  <si>
    <t>Policies to monitor compliance with the UNGC principles or OECD Guidelines for Multinational Enterprises or grievance handling mechanisms to address violations of the UNGC principles or OECD Guidelines for Multinational Enterprises</t>
  </si>
  <si>
    <t>*includes businesses divested during the year</t>
  </si>
  <si>
    <t>ARA p.165</t>
  </si>
  <si>
    <t>Training on our policies</t>
  </si>
  <si>
    <t>Training hours</t>
  </si>
  <si>
    <t>risks disclosed  but not impacts or actions taken</t>
  </si>
  <si>
    <t>ARA p.37
SPD People</t>
  </si>
  <si>
    <t xml:space="preserve">countries or suppliers where  risks exist are not disclosed </t>
  </si>
  <si>
    <r>
      <t>Topics in the applica</t>
    </r>
    <r>
      <rPr>
        <b/>
        <sz val="10"/>
        <color theme="0"/>
        <rFont val="Verdana"/>
        <family val="2"/>
      </rPr>
      <t>ble GRI Sector Standards determined as not material to JM but disclosure important to our stakeholers</t>
    </r>
  </si>
  <si>
    <t>only dislosed for platinum group metal use</t>
  </si>
  <si>
    <t xml:space="preserve">b. c. d. e. </t>
  </si>
  <si>
    <r>
      <rPr>
        <sz val="10"/>
        <color rgb="FFFF0000"/>
        <rFont val="Verdana"/>
        <family val="2"/>
      </rPr>
      <t xml:space="preserve">
</t>
    </r>
    <r>
      <rPr>
        <sz val="10"/>
        <rFont val="Verdana"/>
        <family val="2"/>
      </rPr>
      <t xml:space="preserve">b. c. d. e. </t>
    </r>
  </si>
  <si>
    <t>a. b.</t>
  </si>
  <si>
    <t xml:space="preserve">a. b. </t>
  </si>
  <si>
    <t xml:space="preserve">a. </t>
  </si>
  <si>
    <t>not disclosed as not relevant KPI to aggregate across our business</t>
  </si>
  <si>
    <t>b) renewable fuels and steam purchased or generated</t>
  </si>
  <si>
    <t>Total which goes to municipal treatment</t>
  </si>
  <si>
    <r>
      <t>m</t>
    </r>
    <r>
      <rPr>
        <b/>
        <vertAlign val="superscript"/>
        <sz val="11"/>
        <color theme="1"/>
        <rFont val="Verdana"/>
        <family val="2"/>
      </rPr>
      <t>4</t>
    </r>
    <r>
      <rPr>
        <sz val="11"/>
        <color theme="1"/>
        <rFont val="Calibri"/>
        <family val="2"/>
        <scheme val="minor"/>
      </rPr>
      <t/>
    </r>
  </si>
  <si>
    <t>Total average number of employees</t>
  </si>
  <si>
    <t># employees assigned</t>
  </si>
  <si>
    <t>Baseline Value</t>
  </si>
  <si>
    <r>
      <t xml:space="preserve">‘biodiversity-sensitive areas’ means Natura 2000 network of protected areas, UNESCO World Heritage sites and Key Biodiversity Areas (‘KBAs’), as well as other protected areas, as referred to in </t>
    </r>
    <r>
      <rPr>
        <sz val="10"/>
        <color rgb="FFFF0000"/>
        <rFont val="Verdana"/>
        <family val="2"/>
      </rPr>
      <t>Appendix D of Annex II to Commission Delegated Regulation (EU) 2021/2139</t>
    </r>
  </si>
  <si>
    <r>
      <t>1) Total energy consumed, (2) percentage grid electricity, (3) percentage
renewable, (4) total self-generated energy</t>
    </r>
    <r>
      <rPr>
        <vertAlign val="superscript"/>
        <sz val="10"/>
        <color theme="1"/>
        <rFont val="Verdana"/>
        <family val="2"/>
      </rPr>
      <t>1</t>
    </r>
  </si>
  <si>
    <r>
      <t>Amount of hazardous waste generated, percentage recycled</t>
    </r>
    <r>
      <rPr>
        <vertAlign val="superscript"/>
        <sz val="10"/>
        <color theme="1"/>
        <rFont val="Verdana"/>
        <family val="2"/>
      </rPr>
      <t>2</t>
    </r>
  </si>
  <si>
    <r>
      <t>Process Safety Incidents Count (PSIC), Process Safety Total Incident Rate (PSTIR), and Process Safety Incident Severity Rate (PSISR)</t>
    </r>
    <r>
      <rPr>
        <vertAlign val="superscript"/>
        <sz val="10"/>
        <color theme="1"/>
        <rFont val="Verdana"/>
        <family val="2"/>
      </rPr>
      <t>3</t>
    </r>
  </si>
  <si>
    <r>
      <t>Number of transport incidents</t>
    </r>
    <r>
      <rPr>
        <vertAlign val="superscript"/>
        <sz val="10"/>
        <color theme="1"/>
        <rFont val="Verdana"/>
        <family val="2"/>
      </rPr>
      <t>4</t>
    </r>
  </si>
  <si>
    <r>
      <t>Production by reportable segment</t>
    </r>
    <r>
      <rPr>
        <vertAlign val="superscript"/>
        <sz val="10"/>
        <color theme="1"/>
        <rFont val="Verdana"/>
        <family val="2"/>
      </rPr>
      <t>5</t>
    </r>
  </si>
  <si>
    <t xml:space="preserve">GRI standard / other source </t>
  </si>
  <si>
    <t>Disclosure</t>
  </si>
  <si>
    <t>Location
Report page(s)</t>
  </si>
  <si>
    <t>Requirement(s) omitted</t>
  </si>
  <si>
    <t>Reason</t>
  </si>
  <si>
    <t>Explanation</t>
  </si>
  <si>
    <t>Omission</t>
  </si>
  <si>
    <t>GRI sector standard ref. no.</t>
  </si>
  <si>
    <t>Employee Headcount by gender and region</t>
  </si>
  <si>
    <r>
      <t>Nitrogen oxides (NO</t>
    </r>
    <r>
      <rPr>
        <vertAlign val="subscript"/>
        <sz val="12"/>
        <rFont val="Verdana"/>
        <family val="2"/>
      </rPr>
      <t>x</t>
    </r>
    <r>
      <rPr>
        <sz val="12"/>
        <rFont val="Verdana"/>
        <family val="2"/>
      </rPr>
      <t>) emissions to air</t>
    </r>
  </si>
  <si>
    <r>
      <t>Sulphur oxides (SO</t>
    </r>
    <r>
      <rPr>
        <vertAlign val="subscript"/>
        <sz val="12"/>
        <rFont val="Verdana"/>
        <family val="2"/>
      </rPr>
      <t>x</t>
    </r>
    <r>
      <rPr>
        <sz val="12"/>
        <rFont val="Verdana"/>
        <family val="2"/>
      </rPr>
      <t>) emissions to air</t>
    </r>
  </si>
  <si>
    <r>
      <t>Coverage for NO</t>
    </r>
    <r>
      <rPr>
        <vertAlign val="subscript"/>
        <sz val="12"/>
        <rFont val="Verdana"/>
        <family val="2"/>
      </rPr>
      <t>x</t>
    </r>
    <r>
      <rPr>
        <sz val="12"/>
        <rFont val="Verdana"/>
        <family val="2"/>
      </rPr>
      <t xml:space="preserve"> reporting</t>
    </r>
  </si>
  <si>
    <r>
      <t>Coverage for SO</t>
    </r>
    <r>
      <rPr>
        <vertAlign val="subscript"/>
        <sz val="12"/>
        <rFont val="Verdana"/>
        <family val="2"/>
      </rPr>
      <t>x</t>
    </r>
    <r>
      <rPr>
        <sz val="12"/>
        <rFont val="Verdana"/>
        <family val="2"/>
      </rPr>
      <t xml:space="preserve"> reporting</t>
    </r>
  </si>
  <si>
    <r>
      <t>c.) Describe the resilience of the company’s strategy, taking into consideration different climate-related scenarios, including a 2</t>
    </r>
    <r>
      <rPr>
        <vertAlign val="superscript"/>
        <sz val="12"/>
        <color theme="1"/>
        <rFont val="Verdana"/>
        <family val="2"/>
      </rPr>
      <t>o</t>
    </r>
    <r>
      <rPr>
        <sz val="12"/>
        <color theme="1"/>
        <rFont val="Verdana"/>
        <family val="2"/>
      </rPr>
      <t>C or lower scenario.</t>
    </r>
  </si>
  <si>
    <t>ARA p.28, 48-50, 52</t>
  </si>
  <si>
    <r>
      <rPr>
        <b/>
        <sz val="10"/>
        <color rgb="FF0000CC"/>
        <rFont val="Verdana"/>
        <family val="2"/>
      </rPr>
      <t>Rebaselining of previous years’ data</t>
    </r>
    <r>
      <rPr>
        <sz val="10"/>
        <rFont val="Verdana"/>
        <family val="2"/>
      </rPr>
      <t xml:space="preserve"> 
During the year we divested several businesses as going concerns, including our Health, Advanced Glass Technologies and our Battery Materials businesses.
In accordance with the recommendations of the greenhouse gas (GHG) Protocol and SECR reporting guidance, we have removed their historical contribution to our operational KPIs for all years from 2019/20, which is our baseline for our 2030 sustainability targets. This specifically includes our historical data for Scope 1, 2 and 3 GHG emissions, water consumption, waste and emissions to air.</t>
    </r>
  </si>
  <si>
    <t xml:space="preserve">ARA p.32-34
(1) We estimate that approximately 5% of sales are from products containing &gt;0.1% w/w of so-called Substances of Very High Concern, which are a subset of the substances classified in category 1 or 2 for health or environmental hazard classes. 
(2) 100% of JM products that meet the SASB GHS categories undergo human health and environmental hazard assessment.  </t>
  </si>
  <si>
    <r>
      <t>tonnes CO</t>
    </r>
    <r>
      <rPr>
        <vertAlign val="subscript"/>
        <sz val="12"/>
        <color theme="1"/>
        <rFont val="Verdana"/>
        <family val="2"/>
      </rPr>
      <t>2</t>
    </r>
    <r>
      <rPr>
        <sz val="12"/>
        <color theme="1"/>
        <rFont val="Verdana"/>
        <family val="2"/>
      </rPr>
      <t>e</t>
    </r>
  </si>
  <si>
    <r>
      <t>tonnes CO</t>
    </r>
    <r>
      <rPr>
        <vertAlign val="subscript"/>
        <sz val="12"/>
        <color theme="1"/>
        <rFont val="Verdana"/>
        <family val="2"/>
      </rPr>
      <t>2</t>
    </r>
    <r>
      <rPr>
        <sz val="12"/>
        <color theme="1"/>
        <rFont val="Verdana"/>
        <family val="2"/>
      </rPr>
      <t>e/tonne sales</t>
    </r>
  </si>
  <si>
    <r>
      <t>m</t>
    </r>
    <r>
      <rPr>
        <vertAlign val="superscript"/>
        <sz val="12"/>
        <color theme="1"/>
        <rFont val="Verdana"/>
        <family val="2"/>
      </rPr>
      <t>3</t>
    </r>
  </si>
  <si>
    <r>
      <t>000's m</t>
    </r>
    <r>
      <rPr>
        <vertAlign val="superscript"/>
        <sz val="12"/>
        <color theme="1"/>
        <rFont val="Verdana"/>
        <family val="2"/>
      </rPr>
      <t>3</t>
    </r>
  </si>
  <si>
    <t>ERM Certification and Verification Services Limited (ERM CVS) were engaged to provide limited assurance of selected information. Information assured by ERM CVS is provided on the following tab</t>
  </si>
  <si>
    <t>ERM Certification and Verification Services Limited (ERM CVS) were engaged to provide limited assurance of selected information. All information below has been independently assured by ERM CVS. 
Please see ERM CVS' full assurance statement on page 229-230 of our 2023 ARA for more details.</t>
  </si>
  <si>
    <t>Off site incineration with energy recovery</t>
  </si>
  <si>
    <t>Units of measurement</t>
  </si>
  <si>
    <r>
      <t>233,300 tonnes CO</t>
    </r>
    <r>
      <rPr>
        <vertAlign val="subscript"/>
        <sz val="10"/>
        <color rgb="FF1E22AA"/>
        <rFont val="Verdana"/>
        <family val="2"/>
      </rPr>
      <t>2</t>
    </r>
    <r>
      <rPr>
        <sz val="10"/>
        <color rgb="FF1E22AA"/>
        <rFont val="Verdana"/>
        <family val="2"/>
      </rPr>
      <t>e</t>
    </r>
  </si>
  <si>
    <r>
      <t>130,386 tonnes CO</t>
    </r>
    <r>
      <rPr>
        <vertAlign val="subscript"/>
        <sz val="10"/>
        <color rgb="FF1E22AA"/>
        <rFont val="Verdana"/>
        <family val="2"/>
      </rPr>
      <t>2</t>
    </r>
    <r>
      <rPr>
        <sz val="10"/>
        <color rgb="FF1E22AA"/>
        <rFont val="Verdana"/>
        <family val="2"/>
      </rPr>
      <t>e</t>
    </r>
  </si>
  <si>
    <r>
      <t>2,944,248 tonnes CO</t>
    </r>
    <r>
      <rPr>
        <vertAlign val="subscript"/>
        <sz val="10"/>
        <color rgb="FF1E22AA"/>
        <rFont val="Verdana"/>
        <family val="2"/>
      </rPr>
      <t>2</t>
    </r>
    <r>
      <rPr>
        <sz val="10"/>
        <color rgb="FF1E22AA"/>
        <rFont val="Verdana"/>
        <family val="2"/>
      </rPr>
      <t>e</t>
    </r>
  </si>
  <si>
    <r>
      <t>3,307,934 tonnes CO</t>
    </r>
    <r>
      <rPr>
        <vertAlign val="subscript"/>
        <sz val="10"/>
        <color rgb="FF1E22AA"/>
        <rFont val="Verdana"/>
        <family val="2"/>
      </rPr>
      <t>2</t>
    </r>
    <r>
      <rPr>
        <sz val="10"/>
        <color rgb="FF1E22AA"/>
        <rFont val="Verdana"/>
        <family val="2"/>
      </rPr>
      <t>e</t>
    </r>
  </si>
  <si>
    <r>
      <t>221 tonnes CO</t>
    </r>
    <r>
      <rPr>
        <vertAlign val="subscript"/>
        <sz val="10"/>
        <color rgb="FF1E22AA"/>
        <rFont val="Verdana"/>
        <family val="2"/>
      </rPr>
      <t>2</t>
    </r>
    <r>
      <rPr>
        <sz val="10"/>
        <color rgb="FF1E22AA"/>
        <rFont val="Verdana"/>
        <family val="2"/>
      </rPr>
      <t>e/£ million revenue</t>
    </r>
  </si>
  <si>
    <r>
      <rPr>
        <b/>
        <sz val="20"/>
        <color rgb="FF00ACE9"/>
        <rFont val="Verdana"/>
        <family val="2"/>
      </rPr>
      <t xml:space="preserve">People </t>
    </r>
    <r>
      <rPr>
        <b/>
        <sz val="20"/>
        <color theme="7"/>
        <rFont val="Verdana"/>
        <family val="2"/>
      </rPr>
      <t xml:space="preserve">
</t>
    </r>
    <r>
      <rPr>
        <b/>
        <sz val="20"/>
        <color rgb="FF1E22AA"/>
        <rFont val="Verdana"/>
        <family val="2"/>
      </rPr>
      <t>Health and Safety</t>
    </r>
  </si>
  <si>
    <r>
      <rPr>
        <b/>
        <sz val="20"/>
        <color theme="7"/>
        <rFont val="Verdana"/>
        <family val="2"/>
      </rPr>
      <t xml:space="preserve">People </t>
    </r>
    <r>
      <rPr>
        <b/>
        <sz val="20"/>
        <color rgb="FF0000CC"/>
        <rFont val="Verdana"/>
        <family val="2"/>
      </rPr>
      <t xml:space="preserve">
</t>
    </r>
    <r>
      <rPr>
        <b/>
        <sz val="20"/>
        <color rgb="FF1E22AA"/>
        <rFont val="Verdana"/>
        <family val="2"/>
      </rPr>
      <t>Ethics and Compliance</t>
    </r>
  </si>
  <si>
    <r>
      <rPr>
        <b/>
        <sz val="20"/>
        <color theme="7"/>
        <rFont val="Verdana"/>
        <family val="2"/>
      </rPr>
      <t xml:space="preserve">People </t>
    </r>
    <r>
      <rPr>
        <b/>
        <sz val="20"/>
        <color rgb="FF0000CC"/>
        <rFont val="Verdana"/>
        <family val="2"/>
      </rPr>
      <t xml:space="preserve">
</t>
    </r>
    <r>
      <rPr>
        <b/>
        <sz val="20"/>
        <color rgb="FF1E22AA"/>
        <rFont val="Verdana"/>
        <family val="2"/>
      </rPr>
      <t>Community Investment</t>
    </r>
  </si>
  <si>
    <r>
      <rPr>
        <b/>
        <sz val="20"/>
        <color theme="7"/>
        <rFont val="Verdana"/>
        <family val="2"/>
      </rPr>
      <t>People</t>
    </r>
    <r>
      <rPr>
        <b/>
        <sz val="20"/>
        <color rgb="FF0000CC"/>
        <rFont val="Verdana"/>
        <family val="2"/>
      </rPr>
      <t xml:space="preserve">
</t>
    </r>
    <r>
      <rPr>
        <b/>
        <sz val="20"/>
        <color rgb="FF1E22AA"/>
        <rFont val="Verdana"/>
        <family val="2"/>
      </rPr>
      <t>Responsible Sourcing</t>
    </r>
  </si>
  <si>
    <t>2030 targets</t>
  </si>
  <si>
    <t>Environment</t>
  </si>
  <si>
    <r>
      <rPr>
        <b/>
        <sz val="10"/>
        <color rgb="FF0000CC"/>
        <rFont val="Verdana"/>
        <family val="2"/>
      </rPr>
      <t>Restatements of previous years’ data</t>
    </r>
    <r>
      <rPr>
        <sz val="10"/>
        <rFont val="Verdana"/>
        <family val="2"/>
      </rPr>
      <t xml:space="preserve">
In addition to rebaselining, there have been some restatements of data to account for improvements in methodology, coverage and quality of available data. JM’s materiality threshold for variance is 5%. We have made restatements of environmental performance data for the following KPIs this year:
</t>
    </r>
  </si>
  <si>
    <t>This workbook contains forward looking statements that are subject to risk factors associated with, among other things, the economic and business circumstances occurring from time to time in the countries and sectors in which the group operates. It is believed that the expectations reflected in these statements are reasonable, but they may be affected by a wide range of variables which could cause actual results to differ materially from those currently anticipated.</t>
  </si>
  <si>
    <t xml:space="preserve">
GRI 2: General Disclosures 2021
</t>
  </si>
  <si>
    <t>Percentage of female representation
2022/23</t>
  </si>
  <si>
    <r>
      <t>The data below represents Johnson Matthey's People information as at 31</t>
    </r>
    <r>
      <rPr>
        <vertAlign val="superscript"/>
        <sz val="11"/>
        <color theme="3"/>
        <rFont val="Verdana"/>
        <family val="2"/>
      </rPr>
      <t>st</t>
    </r>
    <r>
      <rPr>
        <sz val="11"/>
        <color theme="3"/>
        <rFont val="Verdana"/>
        <family val="2"/>
      </rPr>
      <t xml:space="preserve"> March 2023 (for 2022/23) and is reported on the basis of our Basis of Reporting on page 227 of our 2023 ARA</t>
    </r>
  </si>
  <si>
    <t>Total number of employees (age not known for 201 employees in 2022/23)</t>
  </si>
  <si>
    <r>
      <t>Total as at 31</t>
    </r>
    <r>
      <rPr>
        <b/>
        <vertAlign val="superscript"/>
        <sz val="12"/>
        <color theme="1"/>
        <rFont val="Verdana"/>
        <family val="2"/>
      </rPr>
      <t>st</t>
    </r>
    <r>
      <rPr>
        <b/>
        <sz val="12"/>
        <color theme="1"/>
        <rFont val="Verdana"/>
        <family val="2"/>
      </rPr>
      <t xml:space="preserve"> March 2023</t>
    </r>
  </si>
  <si>
    <t>Workers</t>
  </si>
  <si>
    <t>Our Supplier Code of Conduct sets out our expectations, and is embedded into our New Supplier Selection Process. All new suppliers complete a self-assessment as part of our on-boarding process. Our most important existing suppliers are assessed annually against our Supplier Code of Conduct using the services of sustainability rating provider EcoVadis.</t>
  </si>
  <si>
    <t>This Sustainability Performance Databook outlines Johnson Matthey's key non-financial performance information and is published alongside our Annual Report to complement the business and financial information to provide stakeholders with a complete picture of our environmental, social and governance (ESG) impacts in 2022/23.
We take a strategic approach to embedding sustainability into everything we do. This approach is based on our understanding of the needs and demands of our stakeholders, combined with a focus on the topics that reflect our most significant ESG impacts.</t>
  </si>
  <si>
    <r>
      <t>• Scope 3 GHG emissions from investments has been restated following the inclusion of our pension-related investments where JM has appointed a trustee.
• NO</t>
    </r>
    <r>
      <rPr>
        <vertAlign val="subscript"/>
        <sz val="10"/>
        <rFont val="Verdana"/>
        <family val="2"/>
      </rPr>
      <t>x</t>
    </r>
    <r>
      <rPr>
        <sz val="10"/>
        <rFont val="Verdana"/>
        <family val="2"/>
      </rPr>
      <t xml:space="preserve"> emissions to Air has been restated following a review of the methodology to calculate this KPI.
• Recycled PGMs restated due to calculation refinements post 2021/22 ARA publication.</t>
    </r>
  </si>
  <si>
    <r>
      <t xml:space="preserve">For more information on our methodology, please see our Basis of Reporting on pages 222-227 of our 2022/23 Annual Report and Accounts 
</t>
    </r>
    <r>
      <rPr>
        <b/>
        <sz val="12"/>
        <color rgb="FF1E22AA"/>
        <rFont val="Verdana"/>
        <family val="2"/>
      </rPr>
      <t>Rebaseline statement: JM has updated the baseline data to take account of all businesses sold in the period from 1</t>
    </r>
    <r>
      <rPr>
        <b/>
        <vertAlign val="superscript"/>
        <sz val="12"/>
        <color rgb="FF1E22AA"/>
        <rFont val="Verdana"/>
        <family val="2"/>
      </rPr>
      <t>st</t>
    </r>
    <r>
      <rPr>
        <b/>
        <sz val="12"/>
        <color rgb="FF1E22AA"/>
        <rFont val="Verdana"/>
        <family val="2"/>
      </rPr>
      <t xml:space="preserve"> April 2019 through to 31</t>
    </r>
    <r>
      <rPr>
        <b/>
        <vertAlign val="superscript"/>
        <sz val="12"/>
        <color rgb="FF1E22AA"/>
        <rFont val="Verdana"/>
        <family val="2"/>
      </rPr>
      <t>st</t>
    </r>
    <r>
      <rPr>
        <b/>
        <sz val="12"/>
        <color rgb="FF1E22AA"/>
        <rFont val="Verdana"/>
        <family val="2"/>
      </rPr>
      <t xml:space="preserve"> March 2023. Data from the sold businesses have been removed from the rebaselined data set. Where JM has ceased operations voluntarily and sites have been closed then these data remain in the rebaselined data.</t>
    </r>
  </si>
  <si>
    <r>
      <t>000's m</t>
    </r>
    <r>
      <rPr>
        <vertAlign val="superscript"/>
        <sz val="10"/>
        <color theme="1"/>
        <rFont val="Verdana"/>
        <family val="2"/>
      </rPr>
      <t>3</t>
    </r>
  </si>
  <si>
    <t>Score of min 8 by 2030</t>
  </si>
  <si>
    <r>
      <t>Total non-hazardous waste disposed</t>
    </r>
    <r>
      <rPr>
        <b/>
        <vertAlign val="superscript"/>
        <sz val="11"/>
        <color rgb="FFFF0000"/>
        <rFont val="Verdana"/>
        <family val="2"/>
      </rPr>
      <t>7</t>
    </r>
  </si>
  <si>
    <t>Total solid waste to landfill</t>
  </si>
  <si>
    <t>Total solid waste incinerated with energy recovery</t>
  </si>
  <si>
    <t>Total solid waste incinerated without energy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</si>
</sst>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3" formatCode="_-* #,##0.00_-;\-* #,##0.00_-;_-* &quot;-&quot;??_-;_-@_-"/>
    <numFmt numFmtId="164" formatCode="0.0%"/>
    <numFmt numFmtId="165" formatCode="#,##0.0"/>
    <numFmt numFmtId="166" formatCode="_-* #,##0_-;\-* #,##0_-;_-* &quot;-&quot;??_-;_-@_-"/>
    <numFmt numFmtId="167" formatCode="#,##0_ ;\-#,##0\ "/>
    <numFmt numFmtId="168" formatCode="_-* #,##0.0_-;\-* #,##0.0_-;_-* &quot;-&quot;??_-;_-@_-"/>
    <numFmt numFmtId="169" formatCode="_-* #,##0.00_-;\-* #,##0.00_-;_-* &quot;-&quot;??_-;_-@"/>
    <numFmt numFmtId="170" formatCode="_-* #,##0_-;\-* #,##0_-;_-* &quot;-&quot;??_-;_-@"/>
    <numFmt numFmtId="171" formatCode="0.0"/>
    <numFmt numFmtId="172" formatCode="0E+00"/>
  </numFmts>
  <fonts count="176">
    <font>
      <sz val="11"/>
      <color theme="1"/>
      <name val="Calibri"/>
      <family val="2"/>
      <scheme val="minor"/>
    </font>
    <font>
      <u/>
      <sz val="11"/>
      <color theme="10"/>
      <name val="Calibri"/>
      <family val="2"/>
      <scheme val="minor"/>
    </font>
    <font>
      <sz val="11"/>
      <color theme="1"/>
      <name val="Calibri"/>
      <family val="2"/>
      <scheme val="minor"/>
    </font>
    <font>
      <sz val="8"/>
      <name val="Calibri"/>
      <family val="2"/>
      <scheme val="minor"/>
    </font>
    <font>
      <sz val="7"/>
      <color theme="1"/>
      <name val="Arial"/>
      <family val="2"/>
    </font>
    <font>
      <sz val="7"/>
      <color theme="0"/>
      <name val="Arial"/>
      <family val="2"/>
    </font>
    <font>
      <sz val="11"/>
      <color rgb="FFFF0000"/>
      <name val="Verdana"/>
      <family val="2"/>
    </font>
    <font>
      <sz val="11"/>
      <name val="Verdana"/>
      <family val="2"/>
    </font>
    <font>
      <sz val="11"/>
      <color theme="1"/>
      <name val="Verdana"/>
      <family val="2"/>
    </font>
    <font>
      <sz val="28"/>
      <color rgb="FF002060"/>
      <name val="Verdana"/>
      <family val="2"/>
    </font>
    <font>
      <b/>
      <sz val="11"/>
      <name val="Verdana"/>
      <family val="2"/>
    </font>
    <font>
      <sz val="10"/>
      <color rgb="FFFF0000"/>
      <name val="Verdana"/>
      <family val="2"/>
    </font>
    <font>
      <sz val="10"/>
      <name val="Verdana"/>
      <family val="2"/>
    </font>
    <font>
      <sz val="10"/>
      <color theme="1"/>
      <name val="Verdana"/>
      <family val="2"/>
    </font>
    <font>
      <b/>
      <sz val="10"/>
      <name val="Verdana"/>
      <family val="2"/>
    </font>
    <font>
      <b/>
      <sz val="28"/>
      <color rgb="FF0000CC"/>
      <name val="Verdana"/>
      <family val="2"/>
    </font>
    <font>
      <b/>
      <sz val="11"/>
      <color theme="0"/>
      <name val="Verdana"/>
      <family val="2"/>
    </font>
    <font>
      <b/>
      <sz val="11"/>
      <color rgb="FF002855"/>
      <name val="Verdana"/>
      <family val="2"/>
    </font>
    <font>
      <sz val="11"/>
      <color rgb="FF002855"/>
      <name val="Verdana"/>
      <family val="2"/>
    </font>
    <font>
      <b/>
      <sz val="10"/>
      <color rgb="FFFFFFFF"/>
      <name val="Verdana"/>
      <family val="2"/>
    </font>
    <font>
      <b/>
      <sz val="11"/>
      <color rgb="FFFFFFFF"/>
      <name val="Verdana"/>
      <family val="2"/>
    </font>
    <font>
      <b/>
      <sz val="11"/>
      <color theme="1"/>
      <name val="Verdana"/>
      <family val="2"/>
    </font>
    <font>
      <sz val="11"/>
      <color rgb="FF000000"/>
      <name val="Verdana"/>
      <family val="2"/>
    </font>
    <font>
      <b/>
      <sz val="11"/>
      <color rgb="FFFF0000"/>
      <name val="Verdana"/>
      <family val="2"/>
    </font>
    <font>
      <sz val="12"/>
      <color rgb="FFFF0000"/>
      <name val="Verdana"/>
      <family val="2"/>
    </font>
    <font>
      <sz val="11"/>
      <color theme="0"/>
      <name val="Verdana"/>
      <family val="2"/>
    </font>
    <font>
      <vertAlign val="superscript"/>
      <sz val="11"/>
      <color theme="1"/>
      <name val="Verdana"/>
      <family val="2"/>
    </font>
    <font>
      <sz val="8"/>
      <color theme="1"/>
      <name val="Verdana"/>
      <family val="2"/>
    </font>
    <font>
      <b/>
      <sz val="8"/>
      <color theme="1"/>
      <name val="Verdana"/>
      <family val="2"/>
    </font>
    <font>
      <b/>
      <sz val="11"/>
      <color rgb="FF000000"/>
      <name val="Verdana"/>
      <family val="2"/>
    </font>
    <font>
      <sz val="7"/>
      <color rgb="FF4A4D4E"/>
      <name val="Verdana"/>
      <family val="2"/>
    </font>
    <font>
      <sz val="9"/>
      <color theme="1"/>
      <name val="Verdana"/>
      <family val="2"/>
    </font>
    <font>
      <b/>
      <sz val="9"/>
      <color theme="1"/>
      <name val="Verdana"/>
      <family val="2"/>
    </font>
    <font>
      <sz val="7"/>
      <color theme="1"/>
      <name val="Verdana"/>
      <family val="2"/>
    </font>
    <font>
      <sz val="12"/>
      <color rgb="FFE60000"/>
      <name val="Verdana"/>
      <family val="2"/>
    </font>
    <font>
      <sz val="9.5"/>
      <color rgb="FF4A4D4E"/>
      <name val="Verdana"/>
      <family val="2"/>
    </font>
    <font>
      <b/>
      <sz val="16"/>
      <color rgb="FFE60000"/>
      <name val="Verdana"/>
      <family val="2"/>
    </font>
    <font>
      <sz val="12"/>
      <color rgb="FF0000CC"/>
      <name val="Verdana"/>
      <family val="2"/>
    </font>
    <font>
      <sz val="9.5"/>
      <color rgb="FFFF0000"/>
      <name val="Verdana"/>
      <family val="2"/>
    </font>
    <font>
      <b/>
      <sz val="9.5"/>
      <color rgb="FFE60000"/>
      <name val="Verdana"/>
      <family val="2"/>
    </font>
    <font>
      <b/>
      <sz val="20"/>
      <color rgb="FFFFFFFF"/>
      <name val="Verdana"/>
      <family val="2"/>
    </font>
    <font>
      <b/>
      <sz val="9.5"/>
      <color rgb="FFFFFFFF"/>
      <name val="Verdana"/>
      <family val="2"/>
    </font>
    <font>
      <b/>
      <sz val="9.5"/>
      <color theme="0"/>
      <name val="Verdana"/>
      <family val="2"/>
    </font>
    <font>
      <sz val="9.5"/>
      <color theme="0"/>
      <name val="Verdana"/>
      <family val="2"/>
    </font>
    <font>
      <b/>
      <sz val="9.5"/>
      <color rgb="FF0000CC"/>
      <name val="Verdana"/>
      <family val="2"/>
    </font>
    <font>
      <b/>
      <sz val="9.5"/>
      <color rgb="FF4A4D4E"/>
      <name val="Verdana"/>
      <family val="2"/>
    </font>
    <font>
      <b/>
      <sz val="11"/>
      <color rgb="FF0000CC"/>
      <name val="Verdana"/>
      <family val="2"/>
    </font>
    <font>
      <sz val="9.5"/>
      <name val="Verdana"/>
      <family val="2"/>
    </font>
    <font>
      <vertAlign val="subscript"/>
      <sz val="11"/>
      <name val="Verdana"/>
      <family val="2"/>
    </font>
    <font>
      <b/>
      <sz val="9.5"/>
      <color rgb="FF000000"/>
      <name val="Verdana"/>
      <family val="2"/>
    </font>
    <font>
      <b/>
      <sz val="20"/>
      <color theme="0"/>
      <name val="Verdana"/>
      <family val="2"/>
    </font>
    <font>
      <b/>
      <vertAlign val="superscript"/>
      <sz val="11"/>
      <color theme="1"/>
      <name val="Verdana"/>
      <family val="2"/>
    </font>
    <font>
      <b/>
      <sz val="11"/>
      <color theme="3"/>
      <name val="Verdana"/>
      <family val="2"/>
    </font>
    <font>
      <b/>
      <vertAlign val="superscript"/>
      <sz val="11"/>
      <color theme="3"/>
      <name val="Verdana"/>
      <family val="2"/>
    </font>
    <font>
      <sz val="11"/>
      <color theme="9" tint="-0.249977111117893"/>
      <name val="Verdana"/>
      <family val="2"/>
    </font>
    <font>
      <b/>
      <vertAlign val="superscript"/>
      <sz val="11"/>
      <name val="Verdana"/>
      <family val="2"/>
    </font>
    <font>
      <sz val="8"/>
      <color rgb="FFFF0000"/>
      <name val="Verdana"/>
      <family val="2"/>
    </font>
    <font>
      <b/>
      <sz val="18"/>
      <color theme="0"/>
      <name val="Verdana"/>
      <family val="2"/>
    </font>
    <font>
      <b/>
      <sz val="14"/>
      <color theme="0"/>
      <name val="Verdana"/>
      <family val="2"/>
    </font>
    <font>
      <b/>
      <sz val="18"/>
      <color rgb="FF0000CC"/>
      <name val="Verdana"/>
      <family val="2"/>
    </font>
    <font>
      <b/>
      <sz val="20"/>
      <color rgb="FF0000CC"/>
      <name val="Verdana"/>
      <family val="2"/>
    </font>
    <font>
      <b/>
      <sz val="28"/>
      <color rgb="FFFF0000"/>
      <name val="Verdana"/>
      <family val="2"/>
    </font>
    <font>
      <sz val="9"/>
      <name val="Verdana"/>
      <family val="2"/>
    </font>
    <font>
      <b/>
      <sz val="12"/>
      <color theme="0"/>
      <name val="Verdana"/>
      <family val="2"/>
    </font>
    <font>
      <b/>
      <sz val="10"/>
      <color rgb="FF000000"/>
      <name val="Verdana"/>
      <family val="2"/>
    </font>
    <font>
      <sz val="10"/>
      <color rgb="FF000000"/>
      <name val="Verdana"/>
      <family val="2"/>
    </font>
    <font>
      <b/>
      <sz val="10"/>
      <color theme="1"/>
      <name val="Verdana"/>
      <family val="2"/>
    </font>
    <font>
      <b/>
      <sz val="12"/>
      <color rgb="FF0000CC"/>
      <name val="Verdana"/>
      <family val="2"/>
    </font>
    <font>
      <sz val="7"/>
      <name val="Verdana"/>
      <family val="2"/>
    </font>
    <font>
      <vertAlign val="subscript"/>
      <sz val="11"/>
      <color rgb="FF000000"/>
      <name val="Verdana"/>
      <family val="2"/>
    </font>
    <font>
      <b/>
      <vertAlign val="superscript"/>
      <sz val="11"/>
      <color rgb="FF000000"/>
      <name val="Verdana"/>
      <family val="2"/>
    </font>
    <font>
      <sz val="11"/>
      <color rgb="FF000000"/>
      <name val="Calibri"/>
      <family val="2"/>
      <scheme val="minor"/>
    </font>
    <font>
      <b/>
      <sz val="14"/>
      <color theme="1"/>
      <name val="Verdana"/>
      <family val="2"/>
    </font>
    <font>
      <sz val="11"/>
      <color theme="1"/>
      <name val="Verdana"/>
      <family val="2"/>
    </font>
    <font>
      <b/>
      <vertAlign val="subscript"/>
      <sz val="11"/>
      <name val="Verdana"/>
      <family val="2"/>
    </font>
    <font>
      <sz val="9"/>
      <color rgb="FF4A4D4E"/>
      <name val="Verdana"/>
      <family val="2"/>
    </font>
    <font>
      <b/>
      <sz val="11"/>
      <color theme="1"/>
      <name val="Calibri"/>
      <family val="2"/>
      <scheme val="minor"/>
    </font>
    <font>
      <sz val="16"/>
      <color rgb="FF4A4D4E"/>
      <name val="Verdana"/>
      <family val="2"/>
    </font>
    <font>
      <b/>
      <sz val="11"/>
      <color rgb="FF000000"/>
      <name val="Calibri"/>
      <family val="2"/>
      <scheme val="minor"/>
    </font>
    <font>
      <b/>
      <vertAlign val="subscript"/>
      <sz val="11"/>
      <color rgb="FF000000"/>
      <name val="Verdana"/>
      <family val="2"/>
    </font>
    <font>
      <b/>
      <sz val="14"/>
      <name val="Verdana"/>
      <family val="2"/>
    </font>
    <font>
      <sz val="11"/>
      <color theme="3"/>
      <name val="Verdana"/>
      <family val="2"/>
    </font>
    <font>
      <sz val="9.5"/>
      <color theme="3"/>
      <name val="Verdana"/>
      <family val="2"/>
    </font>
    <font>
      <b/>
      <sz val="14"/>
      <color theme="3"/>
      <name val="Verdana"/>
      <family val="2"/>
    </font>
    <font>
      <b/>
      <sz val="14"/>
      <color rgb="FF0000CC"/>
      <name val="Verdana"/>
      <family val="2"/>
    </font>
    <font>
      <b/>
      <sz val="16"/>
      <color theme="3"/>
      <name val="Verdana"/>
      <family val="2"/>
    </font>
    <font>
      <sz val="12"/>
      <color theme="3"/>
      <name val="Verdana"/>
      <family val="2"/>
    </font>
    <font>
      <b/>
      <sz val="12"/>
      <color theme="3"/>
      <name val="Verdana"/>
      <family val="2"/>
    </font>
    <font>
      <b/>
      <sz val="20"/>
      <color theme="7"/>
      <name val="Verdana"/>
      <family val="2"/>
    </font>
    <font>
      <b/>
      <sz val="20"/>
      <color theme="6" tint="-0.249977111117893"/>
      <name val="Verdana"/>
      <family val="2"/>
    </font>
    <font>
      <b/>
      <sz val="9.5"/>
      <color theme="3"/>
      <name val="Verdana"/>
      <family val="2"/>
    </font>
    <font>
      <b/>
      <sz val="10"/>
      <color theme="4"/>
      <name val="Verdana"/>
      <family val="2"/>
    </font>
    <font>
      <sz val="10"/>
      <color theme="5"/>
      <name val="Verdana"/>
      <family val="2"/>
    </font>
    <font>
      <sz val="11"/>
      <color rgb="FFFF0000"/>
      <name val="Calibri"/>
      <family val="2"/>
    </font>
    <font>
      <b/>
      <sz val="11"/>
      <color rgb="FFFF0000"/>
      <name val="Calibri"/>
      <family val="2"/>
    </font>
    <font>
      <vertAlign val="subscript"/>
      <sz val="12"/>
      <color rgb="FF0000CC"/>
      <name val="Verdana"/>
      <family val="2"/>
    </font>
    <font>
      <sz val="11"/>
      <color theme="8"/>
      <name val="Verdana"/>
      <family val="2"/>
    </font>
    <font>
      <sz val="11"/>
      <color rgb="FFFFFFFF"/>
      <name val="Verdana"/>
      <family val="2"/>
    </font>
    <font>
      <sz val="10"/>
      <color rgb="FF040C28"/>
      <name val="Verdana"/>
      <family val="2"/>
    </font>
    <font>
      <sz val="10"/>
      <color rgb="FF202124"/>
      <name val="Verdana"/>
      <family val="2"/>
    </font>
    <font>
      <sz val="9"/>
      <color indexed="81"/>
      <name val="Tahoma"/>
      <family val="2"/>
    </font>
    <font>
      <b/>
      <vertAlign val="superscript"/>
      <sz val="12"/>
      <color theme="3"/>
      <name val="Verdana"/>
      <family val="2"/>
    </font>
    <font>
      <b/>
      <sz val="10"/>
      <color rgb="FF0000CC"/>
      <name val="Verdana"/>
      <family val="2"/>
    </font>
    <font>
      <sz val="10"/>
      <color rgb="FF002855"/>
      <name val="Verdana"/>
      <family val="2"/>
    </font>
    <font>
      <b/>
      <sz val="10"/>
      <color theme="0"/>
      <name val="Verdana"/>
      <family val="2"/>
    </font>
    <font>
      <sz val="10"/>
      <color theme="0"/>
      <name val="Verdana"/>
      <family val="2"/>
    </font>
    <font>
      <vertAlign val="subscript"/>
      <sz val="10"/>
      <color theme="1"/>
      <name val="Verdana"/>
      <family val="2"/>
    </font>
    <font>
      <vertAlign val="superscript"/>
      <sz val="10"/>
      <color theme="1"/>
      <name val="Verdana"/>
      <family val="2"/>
    </font>
    <font>
      <sz val="10"/>
      <color theme="3"/>
      <name val="Verdana"/>
      <family val="2"/>
    </font>
    <font>
      <vertAlign val="subscript"/>
      <sz val="10"/>
      <name val="Verdana"/>
      <family val="2"/>
    </font>
    <font>
      <sz val="10"/>
      <color rgb="FF4A4D4E"/>
      <name val="Verdana"/>
      <family val="2"/>
    </font>
    <font>
      <sz val="11"/>
      <color rgb="FF4A4D4E"/>
      <name val="Verdana"/>
      <family val="2"/>
    </font>
    <font>
      <sz val="10"/>
      <color rgb="FF002060"/>
      <name val="Verdana"/>
      <family val="2"/>
    </font>
    <font>
      <sz val="10"/>
      <color rgb="FF0000CC"/>
      <name val="Verdana"/>
      <family val="2"/>
    </font>
    <font>
      <b/>
      <sz val="10"/>
      <color rgb="FF002855"/>
      <name val="Verdana"/>
      <family val="2"/>
    </font>
    <font>
      <sz val="11"/>
      <color theme="1"/>
      <name val="Verdana"/>
      <family val="2"/>
    </font>
    <font>
      <sz val="12"/>
      <color theme="1"/>
      <name val="Verdana"/>
      <family val="2"/>
    </font>
    <font>
      <sz val="12"/>
      <name val="Verdana"/>
      <family val="2"/>
    </font>
    <font>
      <sz val="12"/>
      <color rgb="FF002855"/>
      <name val="Verdana"/>
      <family val="2"/>
    </font>
    <font>
      <sz val="16"/>
      <color theme="1"/>
      <name val="Verdana"/>
      <family val="2"/>
    </font>
    <font>
      <b/>
      <sz val="10"/>
      <color theme="1"/>
      <name val="Calibri"/>
      <family val="2"/>
      <scheme val="minor"/>
    </font>
    <font>
      <u/>
      <sz val="10"/>
      <color theme="3"/>
      <name val="Calibri"/>
      <family val="2"/>
      <scheme val="minor"/>
    </font>
    <font>
      <b/>
      <sz val="10"/>
      <color rgb="FFFF0000"/>
      <name val="Verdana"/>
      <family val="2"/>
    </font>
    <font>
      <sz val="10"/>
      <color rgb="FF4F4C49"/>
      <name val="Verdana"/>
      <family val="2"/>
    </font>
    <font>
      <u/>
      <sz val="10"/>
      <color theme="10"/>
      <name val="Calibri"/>
      <family val="2"/>
      <scheme val="minor"/>
    </font>
    <font>
      <b/>
      <sz val="12"/>
      <color theme="1"/>
      <name val="Verdana"/>
      <family val="2"/>
    </font>
    <font>
      <sz val="12"/>
      <color rgb="FF000000"/>
      <name val="Verdana"/>
      <family val="2"/>
    </font>
    <font>
      <b/>
      <sz val="12"/>
      <color rgb="FF000000"/>
      <name val="Verdana"/>
      <family val="2"/>
    </font>
    <font>
      <b/>
      <sz val="12"/>
      <name val="Verdana"/>
      <family val="2"/>
    </font>
    <font>
      <b/>
      <sz val="12"/>
      <color rgb="FFFF0000"/>
      <name val="Verdana"/>
      <family val="2"/>
    </font>
    <font>
      <b/>
      <sz val="9"/>
      <color indexed="81"/>
      <name val="Tahoma"/>
      <family val="2"/>
    </font>
    <font>
      <sz val="10"/>
      <color indexed="81"/>
      <name val="Verdana"/>
      <family val="2"/>
    </font>
    <font>
      <b/>
      <sz val="10"/>
      <color indexed="81"/>
      <name val="Verdana"/>
      <family val="2"/>
    </font>
    <font>
      <b/>
      <sz val="10"/>
      <color theme="0"/>
      <name val="Verdana"/>
      <family val="2"/>
    </font>
    <font>
      <sz val="10"/>
      <color rgb="FF000000"/>
      <name val="Verdana"/>
      <family val="2"/>
    </font>
    <font>
      <vertAlign val="subscript"/>
      <sz val="12"/>
      <name val="Verdana"/>
      <family val="2"/>
    </font>
    <font>
      <b/>
      <vertAlign val="subscript"/>
      <sz val="12"/>
      <name val="Verdana"/>
      <family val="2"/>
    </font>
    <font>
      <vertAlign val="subscript"/>
      <sz val="12"/>
      <color rgb="FF000000"/>
      <name val="Verdana"/>
      <family val="2"/>
    </font>
    <font>
      <b/>
      <vertAlign val="subscript"/>
      <sz val="12"/>
      <color rgb="FF000000"/>
      <name val="Verdana"/>
      <family val="2"/>
    </font>
    <font>
      <sz val="12"/>
      <color theme="4"/>
      <name val="Verdana"/>
      <family val="2"/>
    </font>
    <font>
      <sz val="10"/>
      <color indexed="81"/>
      <name val="Tahoma"/>
      <family val="2"/>
    </font>
    <font>
      <b/>
      <sz val="14"/>
      <color rgb="FFFF0000"/>
      <name val="Verdana"/>
      <family val="2"/>
    </font>
    <font>
      <sz val="10"/>
      <color indexed="81"/>
      <name val=" verdana"/>
    </font>
    <font>
      <sz val="14"/>
      <color theme="1"/>
      <name val="Verdana"/>
      <family val="2"/>
    </font>
    <font>
      <b/>
      <sz val="14"/>
      <color rgb="FF002855"/>
      <name val="Verdana"/>
      <family val="2"/>
    </font>
    <font>
      <b/>
      <sz val="14"/>
      <color rgb="FFFFFFFF"/>
      <name val="Verdana"/>
      <family val="2"/>
    </font>
    <font>
      <sz val="11"/>
      <name val="Calibri"/>
      <family val="2"/>
      <scheme val="minor"/>
    </font>
    <font>
      <b/>
      <sz val="12"/>
      <color rgb="FFFFFFFF"/>
      <name val="Verdana"/>
      <family val="2"/>
    </font>
    <font>
      <b/>
      <sz val="16"/>
      <color rgb="FFFFFFFF"/>
      <name val="Verdana"/>
      <family val="2"/>
    </font>
    <font>
      <b/>
      <sz val="16"/>
      <color theme="0"/>
      <name val="Verdana"/>
      <family val="2"/>
    </font>
    <font>
      <vertAlign val="superscript"/>
      <sz val="12"/>
      <color theme="1"/>
      <name val="Verdana"/>
      <family val="2"/>
    </font>
    <font>
      <vertAlign val="subscript"/>
      <sz val="12"/>
      <color theme="1"/>
      <name val="Verdana"/>
      <family val="2"/>
    </font>
    <font>
      <i/>
      <sz val="10"/>
      <color theme="1"/>
      <name val="Verdana"/>
      <family val="2"/>
    </font>
    <font>
      <b/>
      <i/>
      <sz val="11"/>
      <color theme="1"/>
      <name val="Verdana"/>
      <family val="2"/>
    </font>
    <font>
      <u/>
      <sz val="10"/>
      <name val="Verdana"/>
      <family val="2"/>
    </font>
    <font>
      <i/>
      <sz val="12"/>
      <name val="Verdana"/>
      <family val="2"/>
    </font>
    <font>
      <b/>
      <i/>
      <sz val="12"/>
      <color theme="1"/>
      <name val="Verdana"/>
      <family val="2"/>
    </font>
    <font>
      <b/>
      <i/>
      <sz val="12"/>
      <color rgb="FF00305C"/>
      <name val="Verdana"/>
      <family val="2"/>
    </font>
    <font>
      <b/>
      <sz val="12"/>
      <color theme="6" tint="-0.499984740745262"/>
      <name val="Verdana"/>
      <family val="2"/>
    </font>
    <font>
      <b/>
      <sz val="12"/>
      <color theme="7" tint="-0.249977111117893"/>
      <name val="Verdana"/>
      <family val="2"/>
    </font>
    <font>
      <sz val="11"/>
      <color rgb="FF1E22AA"/>
      <name val="Calibri"/>
      <family val="2"/>
      <scheme val="minor"/>
    </font>
    <font>
      <b/>
      <sz val="20"/>
      <color rgb="FF1E22AA"/>
      <name val="Verdana"/>
      <family val="2"/>
    </font>
    <font>
      <u/>
      <sz val="11"/>
      <color rgb="FF1E22AA"/>
      <name val="Verdana"/>
      <family val="2"/>
    </font>
    <font>
      <sz val="11"/>
      <color rgb="FF1E22AA"/>
      <name val="Verdana"/>
      <family val="2"/>
    </font>
    <font>
      <b/>
      <sz val="11"/>
      <color rgb="FF1E22AA"/>
      <name val="Verdana"/>
      <family val="2"/>
    </font>
    <font>
      <b/>
      <sz val="12"/>
      <color rgb="FF1E22AA"/>
      <name val="Verdana"/>
      <family val="2"/>
    </font>
    <font>
      <sz val="10"/>
      <color rgb="FF1E22AA"/>
      <name val="Verdana"/>
      <family val="2"/>
    </font>
    <font>
      <sz val="12"/>
      <color rgb="FF1E22AA"/>
      <name val="Verdana"/>
      <family val="2"/>
    </font>
    <font>
      <b/>
      <sz val="10"/>
      <color rgb="FF1E22AA"/>
      <name val="Verdana"/>
      <family val="2"/>
    </font>
    <font>
      <vertAlign val="subscript"/>
      <sz val="10"/>
      <color rgb="FF1E22AA"/>
      <name val="Verdana"/>
      <family val="2"/>
    </font>
    <font>
      <b/>
      <vertAlign val="superscript"/>
      <sz val="12"/>
      <color rgb="FF1E22AA"/>
      <name val="Verdana"/>
      <family val="2"/>
    </font>
    <font>
      <b/>
      <sz val="14"/>
      <color rgb="FF1E22AA"/>
      <name val="Verdana"/>
      <family val="2"/>
    </font>
    <font>
      <b/>
      <sz val="20"/>
      <color rgb="FF00ACE9"/>
      <name val="Verdana"/>
      <family val="2"/>
    </font>
    <font>
      <vertAlign val="superscript"/>
      <sz val="11"/>
      <color theme="3"/>
      <name val="Verdana"/>
      <family val="2"/>
    </font>
    <font>
      <b/>
      <vertAlign val="superscript"/>
      <sz val="12"/>
      <color theme="1"/>
      <name val="Verdana"/>
      <family val="2"/>
    </font>
    <font>
      <b/>
      <vertAlign val="superscript"/>
      <sz val="11"/>
      <color rgb="FFFF0000"/>
      <name val="Verdana"/>
      <family val="2"/>
    </font>
  </fonts>
  <fills count="4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FFFFFF"/>
        <bgColor rgb="FF000000"/>
      </patternFill>
    </fill>
    <fill>
      <patternFill patternType="solid">
        <fgColor rgb="FF0000CC"/>
        <bgColor rgb="FF000000"/>
      </patternFill>
    </fill>
    <fill>
      <patternFill patternType="solid">
        <fgColor theme="0"/>
        <bgColor rgb="FF000000"/>
      </patternFill>
    </fill>
    <fill>
      <patternFill patternType="solid">
        <fgColor theme="0" tint="-0.14999847407452621"/>
        <bgColor indexed="64"/>
      </patternFill>
    </fill>
    <fill>
      <patternFill patternType="solid">
        <fgColor theme="2"/>
        <bgColor indexed="64"/>
      </patternFill>
    </fill>
    <fill>
      <patternFill patternType="solid">
        <fgColor theme="0" tint="-0.14999847407452621"/>
        <bgColor rgb="FF000000"/>
      </patternFill>
    </fill>
    <fill>
      <patternFill patternType="solid">
        <fgColor rgb="FF0000CC"/>
        <bgColor indexed="64"/>
      </patternFill>
    </fill>
    <fill>
      <patternFill patternType="solid">
        <fgColor rgb="FFD9E2EE"/>
        <bgColor indexed="64"/>
      </patternFill>
    </fill>
    <fill>
      <patternFill patternType="solid">
        <fgColor rgb="FF4F74AE"/>
        <bgColor indexed="64"/>
      </patternFill>
    </fill>
    <fill>
      <patternFill patternType="solid">
        <fgColor rgb="FF9DB3D3"/>
        <bgColor indexed="64"/>
      </patternFill>
    </fill>
    <fill>
      <patternFill patternType="solid">
        <fgColor rgb="FFE3E4E5"/>
        <bgColor indexed="64"/>
      </patternFill>
    </fill>
    <fill>
      <patternFill patternType="solid">
        <fgColor rgb="FFFFFFFF"/>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C000"/>
        <bgColor indexed="64"/>
      </patternFill>
    </fill>
    <fill>
      <patternFill patternType="solid">
        <fgColor theme="9"/>
        <bgColor indexed="64"/>
      </patternFill>
    </fill>
    <fill>
      <patternFill patternType="solid">
        <fgColor theme="9" tint="-9.9978637043366805E-2"/>
        <bgColor indexed="64"/>
      </patternFill>
    </fill>
    <fill>
      <patternFill patternType="solid">
        <fgColor theme="9" tint="-9.9978637043366805E-2"/>
        <bgColor rgb="FF000000"/>
      </patternFill>
    </fill>
    <fill>
      <patternFill patternType="solid">
        <fgColor theme="0" tint="-4.9989318521683403E-2"/>
        <bgColor rgb="FF000000"/>
      </patternFill>
    </fill>
    <fill>
      <patternFill patternType="solid">
        <fgColor theme="6" tint="0.79998168889431442"/>
        <bgColor rgb="FF000000"/>
      </patternFill>
    </fill>
    <fill>
      <patternFill patternType="solid">
        <fgColor theme="6" tint="0.79998168889431442"/>
        <bgColor indexed="64"/>
      </patternFill>
    </fill>
    <fill>
      <patternFill patternType="solid">
        <fgColor theme="3"/>
        <bgColor indexed="64"/>
      </patternFill>
    </fill>
    <fill>
      <patternFill patternType="solid">
        <fgColor theme="4" tint="0.79998168889431442"/>
        <bgColor indexed="64"/>
      </patternFill>
    </fill>
    <fill>
      <patternFill patternType="solid">
        <fgColor theme="9" tint="-0.499984740745262"/>
        <bgColor indexed="64"/>
      </patternFill>
    </fill>
    <fill>
      <patternFill patternType="solid">
        <fgColor theme="6" tint="0.39997558519241921"/>
        <bgColor indexed="64"/>
      </patternFill>
    </fill>
    <fill>
      <patternFill patternType="solid">
        <fgColor rgb="FFFFC000"/>
        <bgColor rgb="FF000000"/>
      </patternFill>
    </fill>
    <fill>
      <patternFill patternType="solid">
        <fgColor rgb="FF92D050"/>
        <bgColor indexed="64"/>
      </patternFill>
    </fill>
    <fill>
      <patternFill patternType="solid">
        <fgColor theme="2" tint="0.79998168889431442"/>
        <bgColor indexed="64"/>
      </patternFill>
    </fill>
    <fill>
      <patternFill patternType="solid">
        <fgColor theme="6"/>
        <bgColor indexed="64"/>
      </patternFill>
    </fill>
    <fill>
      <patternFill patternType="solid">
        <fgColor theme="7" tint="0.79998168889431442"/>
        <bgColor indexed="64"/>
      </patternFill>
    </fill>
    <fill>
      <patternFill patternType="solid">
        <fgColor theme="4"/>
        <bgColor indexed="64"/>
      </patternFill>
    </fill>
    <fill>
      <patternFill patternType="solid">
        <fgColor theme="2" tint="0.39997558519241921"/>
        <bgColor indexed="64"/>
      </patternFill>
    </fill>
    <fill>
      <patternFill patternType="solid">
        <fgColor rgb="FF1E22AA"/>
        <bgColor indexed="64"/>
      </patternFill>
    </fill>
    <fill>
      <patternFill patternType="solid">
        <fgColor rgb="FF00ACE9"/>
        <bgColor indexed="64"/>
      </patternFill>
    </fill>
    <fill>
      <patternFill patternType="solid">
        <fgColor rgb="FF1E22AA"/>
        <bgColor rgb="FF000000"/>
      </patternFill>
    </fill>
  </fills>
  <borders count="85">
    <border>
      <left/>
      <right/>
      <top/>
      <bottom/>
      <diagonal/>
    </border>
    <border>
      <left/>
      <right/>
      <top style="hair">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bottom style="thin">
        <color theme="0" tint="-0.14999847407452621"/>
      </bottom>
      <diagonal/>
    </border>
    <border>
      <left/>
      <right/>
      <top/>
      <bottom style="hair">
        <color auto="1"/>
      </bottom>
      <diagonal/>
    </border>
    <border>
      <left style="thin">
        <color theme="0" tint="-0.14999847407452621"/>
      </left>
      <right style="thin">
        <color theme="0" tint="-0.14999847407452621"/>
      </right>
      <top style="thin">
        <color theme="0" tint="-0.14999847407452621"/>
      </top>
      <bottom/>
      <diagonal/>
    </border>
    <border>
      <left style="thin">
        <color theme="2"/>
      </left>
      <right style="thin">
        <color theme="2"/>
      </right>
      <top style="thin">
        <color theme="2"/>
      </top>
      <bottom style="thin">
        <color theme="2"/>
      </bottom>
      <diagonal/>
    </border>
    <border>
      <left style="thin">
        <color theme="9" tint="-0.499984740745262"/>
      </left>
      <right style="thin">
        <color theme="9" tint="-0.499984740745262"/>
      </right>
      <top style="thin">
        <color theme="9" tint="-0.499984740745262"/>
      </top>
      <bottom style="thin">
        <color theme="9" tint="-0.499984740745262"/>
      </bottom>
      <diagonal/>
    </border>
    <border>
      <left style="thin">
        <color theme="9" tint="-0.499984740745262"/>
      </left>
      <right style="thin">
        <color theme="9" tint="-0.499984740745262"/>
      </right>
      <top style="thin">
        <color theme="9" tint="-0.499984740745262"/>
      </top>
      <bottom/>
      <diagonal/>
    </border>
    <border>
      <left style="thin">
        <color theme="9" tint="-0.499984740745262"/>
      </left>
      <right style="thin">
        <color theme="9" tint="-0.499984740745262"/>
      </right>
      <top/>
      <bottom style="thin">
        <color theme="9" tint="-0.499984740745262"/>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theme="9" tint="-0.499984740745262"/>
      </right>
      <top style="thin">
        <color theme="9" tint="-0.499984740745262"/>
      </top>
      <bottom style="thin">
        <color theme="9" tint="-0.499984740745262"/>
      </bottom>
      <diagonal/>
    </border>
    <border>
      <left style="thin">
        <color indexed="64"/>
      </left>
      <right style="thin">
        <color indexed="64"/>
      </right>
      <top style="thin">
        <color indexed="64"/>
      </top>
      <bottom style="thin">
        <color indexed="64"/>
      </bottom>
      <diagonal/>
    </border>
    <border>
      <left style="thin">
        <color theme="2"/>
      </left>
      <right style="thin">
        <color theme="2"/>
      </right>
      <top style="thin">
        <color theme="2"/>
      </top>
      <bottom/>
      <diagonal/>
    </border>
    <border>
      <left style="thin">
        <color theme="2"/>
      </left>
      <right style="thin">
        <color theme="2"/>
      </right>
      <top/>
      <bottom style="thin">
        <color theme="2"/>
      </bottom>
      <diagonal/>
    </border>
    <border>
      <left style="thin">
        <color theme="1" tint="0.14999847407452621"/>
      </left>
      <right style="thin">
        <color theme="1" tint="0.14999847407452621"/>
      </right>
      <top style="thin">
        <color theme="1" tint="0.14999847407452621"/>
      </top>
      <bottom style="thin">
        <color theme="1" tint="0.14999847407452621"/>
      </bottom>
      <diagonal/>
    </border>
    <border>
      <left style="thin">
        <color theme="1" tint="0.14999847407452621"/>
      </left>
      <right style="thin">
        <color theme="1" tint="0.14999847407452621"/>
      </right>
      <top style="thin">
        <color theme="1" tint="0.14999847407452621"/>
      </top>
      <bottom/>
      <diagonal/>
    </border>
    <border>
      <left style="thin">
        <color theme="1" tint="0.14999847407452621"/>
      </left>
      <right style="thin">
        <color theme="1" tint="0.14999847407452621"/>
      </right>
      <top/>
      <bottom style="thin">
        <color theme="1" tint="0.14999847407452621"/>
      </bottom>
      <diagonal/>
    </border>
    <border>
      <left style="thin">
        <color theme="9" tint="-0.499984740745262"/>
      </left>
      <right/>
      <top/>
      <bottom/>
      <diagonal/>
    </border>
    <border>
      <left/>
      <right style="thin">
        <color theme="9" tint="-0.499984740745262"/>
      </right>
      <top/>
      <bottom/>
      <diagonal/>
    </border>
    <border>
      <left style="thin">
        <color theme="9" tint="-0.499984740745262"/>
      </left>
      <right/>
      <top style="thin">
        <color theme="9" tint="-0.499984740745262"/>
      </top>
      <bottom/>
      <diagonal/>
    </border>
    <border>
      <left style="thin">
        <color indexed="64"/>
      </left>
      <right style="thin">
        <color indexed="64"/>
      </right>
      <top/>
      <bottom style="thin">
        <color indexed="64"/>
      </bottom>
      <diagonal/>
    </border>
    <border>
      <left style="thin">
        <color theme="1" tint="0.14999847407452621"/>
      </left>
      <right/>
      <top style="thin">
        <color theme="1" tint="0.14999847407452621"/>
      </top>
      <bottom style="thin">
        <color theme="1" tint="0.14999847407452621"/>
      </bottom>
      <diagonal/>
    </border>
    <border>
      <left/>
      <right/>
      <top style="thin">
        <color theme="1" tint="0.14999847407452621"/>
      </top>
      <bottom style="thin">
        <color theme="1" tint="0.14999847407452621"/>
      </bottom>
      <diagonal/>
    </border>
    <border>
      <left/>
      <right style="thin">
        <color theme="1" tint="0.14999847407452621"/>
      </right>
      <top style="thin">
        <color theme="1" tint="0.14999847407452621"/>
      </top>
      <bottom style="thin">
        <color theme="1" tint="0.14999847407452621"/>
      </bottom>
      <diagonal/>
    </border>
    <border>
      <left style="thin">
        <color theme="9" tint="-0.499984740745262"/>
      </left>
      <right/>
      <top/>
      <bottom style="thin">
        <color theme="9" tint="-0.499984740745262"/>
      </bottom>
      <diagonal/>
    </border>
    <border>
      <left style="thin">
        <color indexed="64"/>
      </left>
      <right style="thin">
        <color indexed="64"/>
      </right>
      <top style="thin">
        <color indexed="64"/>
      </top>
      <bottom/>
      <diagonal/>
    </border>
    <border>
      <left/>
      <right/>
      <top style="thin">
        <color theme="9" tint="-0.499984740745262"/>
      </top>
      <bottom/>
      <diagonal/>
    </border>
    <border>
      <left/>
      <right/>
      <top/>
      <bottom style="thin">
        <color indexed="64"/>
      </bottom>
      <diagonal/>
    </border>
    <border>
      <left/>
      <right/>
      <top style="thin">
        <color theme="2"/>
      </top>
      <bottom/>
      <diagonal/>
    </border>
    <border>
      <left style="thin">
        <color indexed="64"/>
      </left>
      <right style="thin">
        <color indexed="64"/>
      </right>
      <top/>
      <bottom/>
      <diagonal/>
    </border>
    <border>
      <left style="thin">
        <color theme="9" tint="-0.249977111117893"/>
      </left>
      <right style="thin">
        <color theme="9" tint="-0.249977111117893"/>
      </right>
      <top style="thin">
        <color theme="9" tint="-0.249977111117893"/>
      </top>
      <bottom style="thin">
        <color theme="9" tint="-0.249977111117893"/>
      </bottom>
      <diagonal/>
    </border>
    <border>
      <left style="thin">
        <color theme="9" tint="-0.249977111117893"/>
      </left>
      <right style="thin">
        <color theme="9" tint="-0.249977111117893"/>
      </right>
      <top style="thin">
        <color theme="9" tint="-0.249977111117893"/>
      </top>
      <bottom/>
      <diagonal/>
    </border>
    <border>
      <left style="thin">
        <color theme="9" tint="-0.249977111117893"/>
      </left>
      <right style="thin">
        <color theme="9" tint="-0.249977111117893"/>
      </right>
      <top/>
      <bottom style="thin">
        <color theme="9" tint="-0.249977111117893"/>
      </bottom>
      <diagonal/>
    </border>
    <border>
      <left style="thin">
        <color theme="9" tint="-0.249977111117893"/>
      </left>
      <right style="thin">
        <color theme="9" tint="-0.249977111117893"/>
      </right>
      <top/>
      <bottom/>
      <diagonal/>
    </border>
    <border>
      <left style="thin">
        <color theme="9" tint="-0.249977111117893"/>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right/>
      <top style="thin">
        <color theme="9" tint="-0.249977111117893"/>
      </top>
      <bottom style="thin">
        <color theme="9" tint="-0.249977111117893"/>
      </bottom>
      <diagonal/>
    </border>
    <border>
      <left style="thin">
        <color theme="9" tint="-0.249977111117893"/>
      </left>
      <right/>
      <top style="thin">
        <color theme="9" tint="-0.249977111117893"/>
      </top>
      <bottom/>
      <diagonal/>
    </border>
    <border>
      <left/>
      <right/>
      <top style="thin">
        <color theme="9" tint="-0.249977111117893"/>
      </top>
      <bottom/>
      <diagonal/>
    </border>
    <border>
      <left/>
      <right style="thin">
        <color theme="9" tint="-0.249977111117893"/>
      </right>
      <top style="thin">
        <color theme="9" tint="-0.249977111117893"/>
      </top>
      <bottom/>
      <diagonal/>
    </border>
    <border>
      <left/>
      <right/>
      <top/>
      <bottom style="thin">
        <color theme="9" tint="-0.249977111117893"/>
      </bottom>
      <diagonal/>
    </border>
    <border>
      <left/>
      <right style="thin">
        <color theme="9" tint="-0.249977111117893"/>
      </right>
      <top/>
      <bottom style="thin">
        <color theme="9" tint="-0.249977111117893"/>
      </bottom>
      <diagonal/>
    </border>
    <border>
      <left style="thin">
        <color theme="9" tint="-0.249977111117893"/>
      </left>
      <right/>
      <top/>
      <bottom/>
      <diagonal/>
    </border>
    <border>
      <left/>
      <right style="thin">
        <color theme="9" tint="-0.249977111117893"/>
      </right>
      <top/>
      <bottom/>
      <diagonal/>
    </border>
    <border>
      <left/>
      <right style="thin">
        <color theme="2"/>
      </right>
      <top style="thin">
        <color theme="2"/>
      </top>
      <bottom style="thin">
        <color theme="2"/>
      </bottom>
      <diagonal/>
    </border>
    <border>
      <left/>
      <right/>
      <top/>
      <bottom style="thin">
        <color theme="9" tint="-0.499984740745262"/>
      </bottom>
      <diagonal/>
    </border>
    <border>
      <left/>
      <right style="thin">
        <color theme="9" tint="-0.499984740745262"/>
      </right>
      <top/>
      <bottom style="thin">
        <color theme="9" tint="-0.499984740745262"/>
      </bottom>
      <diagonal/>
    </border>
    <border>
      <left/>
      <right style="thin">
        <color theme="9" tint="-0.499984740745262"/>
      </right>
      <top style="thin">
        <color theme="9" tint="-0.499984740745262"/>
      </top>
      <bottom/>
      <diagonal/>
    </border>
    <border>
      <left style="thin">
        <color theme="9" tint="-0.249977111117893"/>
      </left>
      <right style="thin">
        <color theme="9" tint="-0.249977111117893"/>
      </right>
      <top style="thin">
        <color theme="2"/>
      </top>
      <bottom style="thin">
        <color theme="2"/>
      </bottom>
      <diagonal/>
    </border>
    <border>
      <left style="thin">
        <color theme="9" tint="-0.249977111117893"/>
      </left>
      <right style="thin">
        <color theme="9" tint="-0.249977111117893"/>
      </right>
      <top style="thin">
        <color theme="2"/>
      </top>
      <bottom style="thin">
        <color theme="9" tint="-0.249977111117893"/>
      </bottom>
      <diagonal/>
    </border>
    <border>
      <left style="thin">
        <color theme="9" tint="-0.249977111117893"/>
      </left>
      <right style="thin">
        <color theme="9" tint="-0.249977111117893"/>
      </right>
      <top style="thin">
        <color theme="9" tint="-0.249977111117893"/>
      </top>
      <bottom style="thin">
        <color theme="2"/>
      </bottom>
      <diagonal/>
    </border>
    <border>
      <left style="thin">
        <color theme="9" tint="-0.249977111117893"/>
      </left>
      <right style="thin">
        <color theme="9" tint="-0.249977111117893"/>
      </right>
      <top style="thin">
        <color theme="2"/>
      </top>
      <bottom/>
      <diagonal/>
    </border>
    <border>
      <left style="thin">
        <color theme="9" tint="-0.499984740745262"/>
      </left>
      <right style="thin">
        <color theme="9" tint="-0.499984740745262"/>
      </right>
      <top style="thin">
        <color indexed="64"/>
      </top>
      <bottom style="thin">
        <color indexed="64"/>
      </bottom>
      <diagonal/>
    </border>
    <border>
      <left style="thin">
        <color theme="9" tint="-0.499984740745262"/>
      </left>
      <right style="thin">
        <color theme="9" tint="-0.499984740745262"/>
      </right>
      <top style="thin">
        <color indexed="64"/>
      </top>
      <bottom style="thin">
        <color theme="9" tint="-0.499984740745262"/>
      </bottom>
      <diagonal/>
    </border>
    <border>
      <left style="thin">
        <color theme="9" tint="-0.499984740745262"/>
      </left>
      <right style="thin">
        <color theme="9" tint="-0.499984740745262"/>
      </right>
      <top style="thin">
        <color theme="9" tint="-0.499984740745262"/>
      </top>
      <bottom style="thin">
        <color indexed="64"/>
      </bottom>
      <diagonal/>
    </border>
    <border>
      <left style="thin">
        <color theme="9" tint="-0.249977111117893"/>
      </left>
      <right style="thin">
        <color theme="9" tint="-0.249977111117893"/>
      </right>
      <top/>
      <bottom style="thin">
        <color theme="2"/>
      </bottom>
      <diagonal/>
    </border>
    <border>
      <left style="thin">
        <color theme="9" tint="-0.249977111117893"/>
      </left>
      <right style="thin">
        <color theme="9" tint="-0.249977111117893"/>
      </right>
      <top style="thin">
        <color indexed="64"/>
      </top>
      <bottom style="thin">
        <color theme="9" tint="-0.249977111117893"/>
      </bottom>
      <diagonal/>
    </border>
    <border>
      <left style="thin">
        <color theme="9" tint="-0.249977111117893"/>
      </left>
      <right style="thin">
        <color theme="9" tint="-0.249977111117893"/>
      </right>
      <top style="thin">
        <color theme="9" tint="-0.249977111117893"/>
      </top>
      <bottom style="thin">
        <color indexed="64"/>
      </bottom>
      <diagonal/>
    </border>
    <border>
      <left style="thin">
        <color theme="2"/>
      </left>
      <right style="thin">
        <color theme="2"/>
      </right>
      <top style="thin">
        <color indexed="64"/>
      </top>
      <bottom style="thin">
        <color indexed="64"/>
      </bottom>
      <diagonal/>
    </border>
    <border>
      <left/>
      <right/>
      <top style="thin">
        <color indexed="64"/>
      </top>
      <bottom/>
      <diagonal/>
    </border>
    <border>
      <left style="thin">
        <color theme="9" tint="-0.249977111117893"/>
      </left>
      <right style="thin">
        <color theme="9" tint="-0.249977111117893"/>
      </right>
      <top style="thin">
        <color indexed="64"/>
      </top>
      <bottom/>
      <diagonal/>
    </border>
    <border>
      <left style="thin">
        <color theme="9" tint="-0.249977111117893"/>
      </left>
      <right/>
      <top style="thin">
        <color theme="9" tint="-0.249977111117893"/>
      </top>
      <bottom style="thin">
        <color indexed="64"/>
      </bottom>
      <diagonal/>
    </border>
    <border>
      <left style="thin">
        <color theme="9" tint="-0.249977111117893"/>
      </left>
      <right style="thin">
        <color theme="9" tint="-0.249977111117893"/>
      </right>
      <top/>
      <bottom style="thin">
        <color indexed="64"/>
      </bottom>
      <diagonal/>
    </border>
    <border>
      <left style="thin">
        <color theme="9" tint="-0.249977111117893"/>
      </left>
      <right/>
      <top style="thin">
        <color indexed="64"/>
      </top>
      <bottom style="thin">
        <color theme="9" tint="-0.249977111117893"/>
      </bottom>
      <diagonal/>
    </border>
    <border>
      <left/>
      <right style="thin">
        <color theme="9" tint="-0.249977111117893"/>
      </right>
      <top style="thin">
        <color indexed="64"/>
      </top>
      <bottom style="thin">
        <color theme="9" tint="-0.249977111117893"/>
      </bottom>
      <diagonal/>
    </border>
    <border>
      <left/>
      <right/>
      <top style="thin">
        <color theme="9" tint="-0.249977111117893"/>
      </top>
      <bottom style="thin">
        <color indexed="64"/>
      </bottom>
      <diagonal/>
    </border>
    <border>
      <left/>
      <right style="thin">
        <color theme="9" tint="-0.249977111117893"/>
      </right>
      <top style="thin">
        <color theme="9" tint="-0.249977111117893"/>
      </top>
      <bottom style="thin">
        <color indexed="64"/>
      </bottom>
      <diagonal/>
    </border>
    <border>
      <left style="thin">
        <color theme="9" tint="-0.249977111117893"/>
      </left>
      <right/>
      <top style="thin">
        <color indexed="64"/>
      </top>
      <bottom/>
      <diagonal/>
    </border>
    <border>
      <left/>
      <right style="thin">
        <color theme="9" tint="-0.249977111117893"/>
      </right>
      <top style="thin">
        <color indexed="64"/>
      </top>
      <bottom/>
      <diagonal/>
    </border>
    <border>
      <left style="thin">
        <color theme="9" tint="-0.249977111117893"/>
      </left>
      <right/>
      <top/>
      <bottom style="thin">
        <color indexed="64"/>
      </bottom>
      <diagonal/>
    </border>
    <border>
      <left/>
      <right style="thin">
        <color theme="9" tint="-0.249977111117893"/>
      </right>
      <top/>
      <bottom style="thin">
        <color indexed="64"/>
      </bottom>
      <diagonal/>
    </border>
    <border>
      <left/>
      <right/>
      <top style="thin">
        <color theme="2" tint="0.79998168889431442"/>
      </top>
      <bottom/>
      <diagonal/>
    </border>
    <border>
      <left/>
      <right style="thin">
        <color theme="2" tint="0.79998168889431442"/>
      </right>
      <top style="thin">
        <color theme="2" tint="0.79998168889431442"/>
      </top>
      <bottom/>
      <diagonal/>
    </border>
    <border>
      <left/>
      <right style="thin">
        <color theme="2" tint="0.79998168889431442"/>
      </right>
      <top/>
      <bottom/>
      <diagonal/>
    </border>
    <border>
      <left/>
      <right/>
      <top/>
      <bottom style="thin">
        <color theme="2" tint="0.79998168889431442"/>
      </bottom>
      <diagonal/>
    </border>
    <border>
      <left/>
      <right style="thin">
        <color theme="2" tint="0.79998168889431442"/>
      </right>
      <top/>
      <bottom style="thin">
        <color theme="2" tint="0.79998168889431442"/>
      </bottom>
      <diagonal/>
    </border>
    <border>
      <left style="thin">
        <color theme="2" tint="0.79998168889431442"/>
      </left>
      <right/>
      <top style="thin">
        <color theme="2" tint="0.79998168889431442"/>
      </top>
      <bottom style="thin">
        <color theme="2" tint="0.79998168889431442"/>
      </bottom>
      <diagonal/>
    </border>
    <border>
      <left/>
      <right/>
      <top style="thin">
        <color theme="2" tint="0.79998168889431442"/>
      </top>
      <bottom style="thin">
        <color theme="2" tint="0.79998168889431442"/>
      </bottom>
      <diagonal/>
    </border>
    <border>
      <left/>
      <right style="thin">
        <color theme="2" tint="0.79998168889431442"/>
      </right>
      <top style="thin">
        <color theme="2" tint="0.79998168889431442"/>
      </top>
      <bottom style="thin">
        <color theme="2" tint="0.79998168889431442"/>
      </bottom>
      <diagonal/>
    </border>
    <border>
      <left style="thin">
        <color theme="2" tint="0.79998168889431442"/>
      </left>
      <right/>
      <top style="thin">
        <color theme="2" tint="0.79998168889431442"/>
      </top>
      <bottom/>
      <diagonal/>
    </border>
    <border>
      <left style="thin">
        <color theme="2" tint="0.79998168889431442"/>
      </left>
      <right/>
      <top/>
      <bottom/>
      <diagonal/>
    </border>
    <border>
      <left style="thin">
        <color theme="2" tint="0.79998168889431442"/>
      </left>
      <right/>
      <top/>
      <bottom style="thin">
        <color theme="2" tint="0.79998168889431442"/>
      </bottom>
      <diagonal/>
    </border>
    <border>
      <left style="thin">
        <color theme="9" tint="-9.9978637043366805E-2"/>
      </left>
      <right style="thin">
        <color theme="9" tint="-9.9978637043366805E-2"/>
      </right>
      <top style="thin">
        <color theme="9" tint="-9.9978637043366805E-2"/>
      </top>
      <bottom style="thin">
        <color theme="9" tint="-9.9978637043366805E-2"/>
      </bottom>
      <diagonal/>
    </border>
  </borders>
  <cellStyleXfs count="7">
    <xf numFmtId="0" fontId="0" fillId="0" borderId="0"/>
    <xf numFmtId="0" fontId="1"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4" fillId="0" borderId="4" applyNumberFormat="0" applyFill="0" applyProtection="0">
      <alignment horizontal="left" vertical="center" wrapText="1"/>
    </xf>
    <xf numFmtId="0" fontId="5" fillId="9" borderId="0" applyNumberFormat="0" applyProtection="0">
      <alignment horizontal="right" wrapText="1"/>
    </xf>
  </cellStyleXfs>
  <cellXfs count="1549">
    <xf numFmtId="0" fontId="0" fillId="0" borderId="0" xfId="0"/>
    <xf numFmtId="0" fontId="0" fillId="2" borderId="0" xfId="0" applyFill="1"/>
    <xf numFmtId="0" fontId="8" fillId="2" borderId="0" xfId="0" applyFont="1" applyFill="1"/>
    <xf numFmtId="0" fontId="13" fillId="2" borderId="0" xfId="0" applyFont="1" applyFill="1"/>
    <xf numFmtId="0" fontId="12" fillId="4" borderId="0" xfId="0" applyFont="1" applyFill="1" applyAlignment="1">
      <alignment horizontal="left" vertical="center" wrapText="1"/>
    </xf>
    <xf numFmtId="0" fontId="14" fillId="4" borderId="0" xfId="0" applyFont="1" applyFill="1" applyAlignment="1">
      <alignment vertical="top"/>
    </xf>
    <xf numFmtId="0" fontId="12" fillId="4" borderId="0" xfId="0" applyFont="1" applyFill="1" applyAlignment="1">
      <alignment horizontal="left" vertical="top" wrapText="1"/>
    </xf>
    <xf numFmtId="0" fontId="12" fillId="4" borderId="0" xfId="0" applyFont="1" applyFill="1" applyAlignment="1">
      <alignment vertical="top"/>
    </xf>
    <xf numFmtId="0" fontId="15" fillId="5" borderId="0" xfId="0" applyFont="1" applyFill="1" applyAlignment="1">
      <alignment vertical="center"/>
    </xf>
    <xf numFmtId="0" fontId="9" fillId="2" borderId="0" xfId="0" applyFont="1" applyFill="1" applyAlignment="1">
      <alignment horizontal="right" vertical="center"/>
    </xf>
    <xf numFmtId="0" fontId="17" fillId="2" borderId="0" xfId="0" applyFont="1" applyFill="1" applyAlignment="1">
      <alignment horizontal="left" vertical="center"/>
    </xf>
    <xf numFmtId="0" fontId="18" fillId="2" borderId="0" xfId="0" applyFont="1" applyFill="1" applyAlignment="1">
      <alignment horizontal="left" vertical="center"/>
    </xf>
    <xf numFmtId="0" fontId="6" fillId="2" borderId="0" xfId="0" applyFont="1" applyFill="1"/>
    <xf numFmtId="0" fontId="8" fillId="0" borderId="0" xfId="0" applyFont="1"/>
    <xf numFmtId="0" fontId="16" fillId="2" borderId="0" xfId="0" applyFont="1" applyFill="1" applyAlignment="1">
      <alignment horizontal="left" vertical="center"/>
    </xf>
    <xf numFmtId="0" fontId="8" fillId="2" borderId="0" xfId="0" applyFont="1" applyFill="1" applyAlignment="1">
      <alignment wrapText="1"/>
    </xf>
    <xf numFmtId="0" fontId="23" fillId="3" borderId="0" xfId="0" applyFont="1" applyFill="1" applyAlignment="1">
      <alignment wrapText="1"/>
    </xf>
    <xf numFmtId="0" fontId="30" fillId="5" borderId="0" xfId="0" applyFont="1" applyFill="1"/>
    <xf numFmtId="0" fontId="33" fillId="2" borderId="0" xfId="0" applyFont="1" applyFill="1" applyAlignment="1">
      <alignment horizontal="left" vertical="center" indent="1"/>
    </xf>
    <xf numFmtId="0" fontId="34" fillId="5" borderId="0" xfId="0" applyFont="1" applyFill="1" applyAlignment="1">
      <alignment vertical="top" wrapText="1"/>
    </xf>
    <xf numFmtId="0" fontId="35" fillId="5" borderId="0" xfId="0" applyFont="1" applyFill="1" applyAlignment="1">
      <alignment vertical="top" wrapText="1"/>
    </xf>
    <xf numFmtId="0" fontId="36" fillId="5" borderId="0" xfId="0" applyFont="1" applyFill="1" applyAlignment="1">
      <alignment vertical="top"/>
    </xf>
    <xf numFmtId="0" fontId="34" fillId="5" borderId="0" xfId="0" applyFont="1" applyFill="1" applyAlignment="1">
      <alignment horizontal="left" vertical="top" wrapText="1"/>
    </xf>
    <xf numFmtId="0" fontId="39" fillId="5" borderId="0" xfId="0" applyFont="1" applyFill="1" applyAlignment="1">
      <alignment vertical="center"/>
    </xf>
    <xf numFmtId="0" fontId="12" fillId="5" borderId="0" xfId="0" applyFont="1" applyFill="1" applyAlignment="1">
      <alignment vertical="center"/>
    </xf>
    <xf numFmtId="0" fontId="22" fillId="0" borderId="0" xfId="0" applyFont="1"/>
    <xf numFmtId="0" fontId="40" fillId="6" borderId="0" xfId="0" applyFont="1" applyFill="1" applyAlignment="1">
      <alignment horizontal="left"/>
    </xf>
    <xf numFmtId="0" fontId="41" fillId="6" borderId="0" xfId="0" applyFont="1" applyFill="1" applyAlignment="1">
      <alignment horizontal="left"/>
    </xf>
    <xf numFmtId="0" fontId="42" fillId="6" borderId="0" xfId="0" applyFont="1" applyFill="1" applyAlignment="1">
      <alignment horizontal="right"/>
    </xf>
    <xf numFmtId="0" fontId="43" fillId="6" borderId="0" xfId="0" applyFont="1" applyFill="1"/>
    <xf numFmtId="0" fontId="44" fillId="7" borderId="0" xfId="0" applyFont="1" applyFill="1"/>
    <xf numFmtId="0" fontId="45" fillId="7" borderId="0" xfId="0" applyFont="1" applyFill="1" applyAlignment="1">
      <alignment horizontal="right"/>
    </xf>
    <xf numFmtId="0" fontId="35" fillId="7" borderId="0" xfId="0" applyFont="1" applyFill="1" applyAlignment="1">
      <alignment horizontal="right"/>
    </xf>
    <xf numFmtId="0" fontId="35" fillId="7" borderId="0" xfId="0" applyFont="1" applyFill="1" applyAlignment="1">
      <alignment vertical="top" wrapText="1"/>
    </xf>
    <xf numFmtId="0" fontId="47" fillId="5" borderId="0" xfId="0" applyFont="1" applyFill="1" applyAlignment="1">
      <alignment horizontal="center" wrapText="1"/>
    </xf>
    <xf numFmtId="164" fontId="47" fillId="5" borderId="0" xfId="3" applyNumberFormat="1" applyFont="1" applyFill="1" applyAlignment="1">
      <alignment horizontal="center" vertical="center" wrapText="1"/>
    </xf>
    <xf numFmtId="0" fontId="35" fillId="2" borderId="0" xfId="0" applyFont="1" applyFill="1"/>
    <xf numFmtId="0" fontId="45" fillId="2" borderId="0" xfId="0" applyFont="1" applyFill="1" applyAlignment="1">
      <alignment horizontal="right"/>
    </xf>
    <xf numFmtId="0" fontId="35" fillId="2" borderId="0" xfId="0" applyFont="1" applyFill="1" applyAlignment="1">
      <alignment horizontal="right"/>
    </xf>
    <xf numFmtId="0" fontId="35" fillId="5" borderId="0" xfId="0" applyFont="1" applyFill="1" applyAlignment="1">
      <alignment horizontal="right"/>
    </xf>
    <xf numFmtId="164" fontId="35" fillId="5" borderId="0" xfId="3" applyNumberFormat="1" applyFont="1" applyFill="1" applyAlignment="1">
      <alignment horizontal="center" vertical="center" wrapText="1"/>
    </xf>
    <xf numFmtId="0" fontId="38" fillId="5" borderId="0" xfId="0" applyFont="1" applyFill="1" applyAlignment="1">
      <alignment horizontal="center" wrapText="1"/>
    </xf>
    <xf numFmtId="0" fontId="35" fillId="5" borderId="0" xfId="0" applyFont="1" applyFill="1" applyAlignment="1">
      <alignment horizontal="left"/>
    </xf>
    <xf numFmtId="0" fontId="38" fillId="5" borderId="0" xfId="0" applyFont="1" applyFill="1" applyAlignment="1">
      <alignment horizontal="right"/>
    </xf>
    <xf numFmtId="0" fontId="49" fillId="5" borderId="0" xfId="0" applyFont="1" applyFill="1" applyAlignment="1">
      <alignment horizontal="right"/>
    </xf>
    <xf numFmtId="0" fontId="27" fillId="2" borderId="0" xfId="0" applyFont="1" applyFill="1" applyAlignment="1">
      <alignment horizontal="left" vertical="center" indent="1"/>
    </xf>
    <xf numFmtId="0" fontId="45" fillId="5" borderId="0" xfId="0" applyFont="1" applyFill="1" applyAlignment="1">
      <alignment horizontal="right"/>
    </xf>
    <xf numFmtId="0" fontId="50" fillId="6" borderId="0" xfId="0" applyFont="1" applyFill="1" applyAlignment="1">
      <alignment horizontal="left"/>
    </xf>
    <xf numFmtId="0" fontId="8" fillId="2" borderId="1" xfId="0" applyFont="1" applyFill="1" applyBorder="1"/>
    <xf numFmtId="0" fontId="7" fillId="2" borderId="1" xfId="0" applyFont="1" applyFill="1" applyBorder="1"/>
    <xf numFmtId="0" fontId="10" fillId="2" borderId="1" xfId="2" applyNumberFormat="1" applyFont="1" applyFill="1" applyBorder="1" applyAlignment="1">
      <alignment horizontal="right"/>
    </xf>
    <xf numFmtId="0" fontId="10" fillId="2" borderId="1" xfId="0" applyFont="1" applyFill="1" applyBorder="1" applyAlignment="1">
      <alignment horizontal="right"/>
    </xf>
    <xf numFmtId="164" fontId="8" fillId="2" borderId="0" xfId="3" applyNumberFormat="1" applyFont="1" applyFill="1"/>
    <xf numFmtId="0" fontId="52" fillId="2" borderId="0" xfId="0" applyFont="1" applyFill="1"/>
    <xf numFmtId="0" fontId="10" fillId="2" borderId="0" xfId="0" applyFont="1" applyFill="1"/>
    <xf numFmtId="171" fontId="8" fillId="2" borderId="0" xfId="0" applyNumberFormat="1" applyFont="1" applyFill="1"/>
    <xf numFmtId="0" fontId="54" fillId="2" borderId="0" xfId="0" applyFont="1" applyFill="1"/>
    <xf numFmtId="168" fontId="10" fillId="2" borderId="0" xfId="2" applyNumberFormat="1" applyFont="1" applyFill="1" applyAlignment="1">
      <alignment horizontal="right"/>
    </xf>
    <xf numFmtId="0" fontId="7" fillId="2" borderId="0" xfId="0" applyFont="1" applyFill="1"/>
    <xf numFmtId="164" fontId="47" fillId="5" borderId="0" xfId="0" applyNumberFormat="1" applyFont="1" applyFill="1" applyAlignment="1">
      <alignment horizontal="center" vertical="center" wrapText="1"/>
    </xf>
    <xf numFmtId="166" fontId="10" fillId="2" borderId="0" xfId="2" applyNumberFormat="1" applyFont="1" applyFill="1" applyBorder="1" applyAlignment="1">
      <alignment horizontal="right"/>
    </xf>
    <xf numFmtId="166" fontId="7" fillId="2" borderId="0" xfId="2" applyNumberFormat="1" applyFont="1" applyFill="1" applyBorder="1" applyAlignment="1">
      <alignment horizontal="right"/>
    </xf>
    <xf numFmtId="164" fontId="8" fillId="2" borderId="0" xfId="3" applyNumberFormat="1" applyFont="1" applyFill="1" applyBorder="1"/>
    <xf numFmtId="168" fontId="10" fillId="2" borderId="0" xfId="2" applyNumberFormat="1" applyFont="1" applyFill="1" applyBorder="1" applyAlignment="1">
      <alignment horizontal="right"/>
    </xf>
    <xf numFmtId="0" fontId="8" fillId="2" borderId="0" xfId="0" applyFont="1" applyFill="1" applyAlignment="1">
      <alignment vertical="center"/>
    </xf>
    <xf numFmtId="0" fontId="7" fillId="2" borderId="0" xfId="0" applyFont="1" applyFill="1" applyAlignment="1">
      <alignment vertical="center"/>
    </xf>
    <xf numFmtId="0" fontId="61" fillId="2" borderId="0" xfId="0" applyFont="1" applyFill="1"/>
    <xf numFmtId="0" fontId="8" fillId="2" borderId="0" xfId="0" applyFont="1" applyFill="1" applyAlignment="1">
      <alignment horizontal="left" vertical="center" wrapText="1"/>
    </xf>
    <xf numFmtId="0" fontId="62" fillId="5" borderId="0" xfId="0" applyFont="1" applyFill="1"/>
    <xf numFmtId="0" fontId="6" fillId="2" borderId="0" xfId="0" applyFont="1" applyFill="1" applyAlignment="1">
      <alignment wrapText="1"/>
    </xf>
    <xf numFmtId="0" fontId="13" fillId="2" borderId="0" xfId="0" applyFont="1" applyFill="1" applyAlignment="1">
      <alignment vertical="center" wrapText="1"/>
    </xf>
    <xf numFmtId="0" fontId="59" fillId="5" borderId="0" xfId="0" applyFont="1" applyFill="1" applyAlignment="1">
      <alignment vertical="top"/>
    </xf>
    <xf numFmtId="0" fontId="32" fillId="2" borderId="0" xfId="0" applyFont="1" applyFill="1" applyAlignment="1">
      <alignment vertical="center" wrapText="1"/>
    </xf>
    <xf numFmtId="1" fontId="47" fillId="5" borderId="0" xfId="3" applyNumberFormat="1" applyFont="1" applyFill="1" applyAlignment="1">
      <alignment horizontal="center" vertical="center" wrapText="1"/>
    </xf>
    <xf numFmtId="9" fontId="47" fillId="5" borderId="0" xfId="3" applyFont="1" applyFill="1" applyAlignment="1">
      <alignment horizontal="center" vertical="center" wrapText="1"/>
    </xf>
    <xf numFmtId="9" fontId="35" fillId="5" borderId="0" xfId="3" applyFont="1" applyFill="1" applyAlignment="1">
      <alignment horizontal="right"/>
    </xf>
    <xf numFmtId="9" fontId="49" fillId="5" borderId="0" xfId="3" applyFont="1" applyFill="1" applyAlignment="1">
      <alignment horizontal="right"/>
    </xf>
    <xf numFmtId="9" fontId="8" fillId="2" borderId="0" xfId="3" applyFont="1" applyFill="1" applyAlignment="1">
      <alignment horizontal="left" vertical="center" wrapText="1"/>
    </xf>
    <xf numFmtId="0" fontId="21" fillId="2" borderId="0" xfId="0" applyFont="1" applyFill="1"/>
    <xf numFmtId="0" fontId="21" fillId="2" borderId="0" xfId="0" applyFont="1" applyFill="1" applyAlignment="1">
      <alignment horizontal="left" vertical="center" wrapText="1"/>
    </xf>
    <xf numFmtId="0" fontId="8" fillId="17" borderId="0" xfId="0" applyFont="1" applyFill="1"/>
    <xf numFmtId="0" fontId="58" fillId="18" borderId="2" xfId="0" applyFont="1" applyFill="1" applyBorder="1" applyAlignment="1">
      <alignment vertical="center"/>
    </xf>
    <xf numFmtId="0" fontId="58" fillId="18" borderId="2" xfId="0" applyFont="1" applyFill="1" applyBorder="1" applyAlignment="1">
      <alignment horizontal="center" vertical="center"/>
    </xf>
    <xf numFmtId="0" fontId="63" fillId="18" borderId="2" xfId="0" applyFont="1" applyFill="1" applyBorder="1" applyAlignment="1">
      <alignment horizontal="center" vertical="center" wrapText="1"/>
    </xf>
    <xf numFmtId="0" fontId="8" fillId="18" borderId="0" xfId="0" applyFont="1" applyFill="1" applyAlignment="1">
      <alignment wrapText="1"/>
    </xf>
    <xf numFmtId="0" fontId="58" fillId="18" borderId="0" xfId="0" applyFont="1" applyFill="1" applyAlignment="1">
      <alignment vertical="center" wrapText="1"/>
    </xf>
    <xf numFmtId="0" fontId="8" fillId="18" borderId="0" xfId="0" applyFont="1" applyFill="1" applyAlignment="1">
      <alignment horizontal="left" vertical="center" wrapText="1"/>
    </xf>
    <xf numFmtId="0" fontId="8" fillId="18" borderId="0" xfId="0" applyFont="1" applyFill="1"/>
    <xf numFmtId="0" fontId="10" fillId="18" borderId="5" xfId="0" applyFont="1" applyFill="1" applyBorder="1" applyAlignment="1">
      <alignment vertical="center"/>
    </xf>
    <xf numFmtId="0" fontId="58" fillId="18" borderId="2" xfId="0" applyFont="1" applyFill="1" applyBorder="1" applyAlignment="1">
      <alignment horizontal="center" vertical="center" wrapText="1"/>
    </xf>
    <xf numFmtId="0" fontId="8" fillId="18" borderId="2" xfId="0" applyFont="1" applyFill="1" applyBorder="1" applyAlignment="1">
      <alignment horizontal="left" indent="2"/>
    </xf>
    <xf numFmtId="0" fontId="8" fillId="18" borderId="2" xfId="0" applyFont="1" applyFill="1" applyBorder="1" applyAlignment="1">
      <alignment horizontal="center" vertical="center" wrapText="1"/>
    </xf>
    <xf numFmtId="0" fontId="8" fillId="18" borderId="2" xfId="0" applyFont="1" applyFill="1" applyBorder="1" applyAlignment="1">
      <alignment horizontal="left" wrapText="1" indent="2"/>
    </xf>
    <xf numFmtId="0" fontId="10" fillId="18" borderId="2" xfId="0" applyFont="1" applyFill="1" applyBorder="1" applyAlignment="1">
      <alignment vertical="center"/>
    </xf>
    <xf numFmtId="0" fontId="21" fillId="18" borderId="2" xfId="0" applyFont="1" applyFill="1" applyBorder="1" applyAlignment="1">
      <alignment wrapText="1"/>
    </xf>
    <xf numFmtId="166" fontId="8" fillId="2" borderId="0" xfId="0" applyNumberFormat="1" applyFont="1" applyFill="1"/>
    <xf numFmtId="0" fontId="1" fillId="0" borderId="0" xfId="1"/>
    <xf numFmtId="9" fontId="8" fillId="2" borderId="0" xfId="3" applyFont="1" applyFill="1" applyAlignment="1">
      <alignment vertical="center"/>
    </xf>
    <xf numFmtId="0" fontId="8" fillId="2" borderId="0" xfId="0" applyFont="1" applyFill="1" applyAlignment="1">
      <alignment vertical="center" wrapText="1"/>
    </xf>
    <xf numFmtId="0" fontId="25" fillId="2" borderId="0" xfId="0" applyFont="1" applyFill="1" applyAlignment="1">
      <alignment horizontal="left" vertical="center" wrapText="1"/>
    </xf>
    <xf numFmtId="9" fontId="25" fillId="2" borderId="0" xfId="0" applyNumberFormat="1" applyFont="1" applyFill="1" applyAlignment="1">
      <alignment horizontal="left" vertical="center" wrapText="1"/>
    </xf>
    <xf numFmtId="9" fontId="25" fillId="2" borderId="0" xfId="0" applyNumberFormat="1" applyFont="1" applyFill="1" applyAlignment="1">
      <alignment vertical="center" wrapText="1"/>
    </xf>
    <xf numFmtId="0" fontId="25" fillId="2" borderId="0" xfId="0" applyFont="1" applyFill="1" applyAlignment="1">
      <alignment vertical="center" wrapText="1"/>
    </xf>
    <xf numFmtId="0" fontId="6" fillId="2" borderId="0" xfId="0" applyFont="1" applyFill="1" applyAlignment="1">
      <alignment vertical="center" wrapText="1"/>
    </xf>
    <xf numFmtId="1" fontId="8" fillId="2" borderId="0" xfId="0" applyNumberFormat="1" applyFont="1" applyFill="1" applyAlignment="1">
      <alignment horizontal="center"/>
    </xf>
    <xf numFmtId="0" fontId="39" fillId="5" borderId="0" xfId="0" applyFont="1" applyFill="1" applyAlignment="1">
      <alignment vertical="center" wrapText="1"/>
    </xf>
    <xf numFmtId="0" fontId="27" fillId="2" borderId="0" xfId="0" applyFont="1" applyFill="1" applyAlignment="1">
      <alignment horizontal="left" vertical="center" wrapText="1"/>
    </xf>
    <xf numFmtId="0" fontId="34" fillId="5" borderId="0" xfId="0" applyFont="1" applyFill="1" applyAlignment="1">
      <alignment vertical="center" wrapText="1"/>
    </xf>
    <xf numFmtId="0" fontId="35" fillId="5" borderId="0" xfId="0" applyFont="1" applyFill="1" applyAlignment="1">
      <alignment vertical="center" wrapText="1"/>
    </xf>
    <xf numFmtId="0" fontId="36" fillId="5" borderId="0" xfId="0" applyFont="1" applyFill="1" applyAlignment="1">
      <alignment vertical="center"/>
    </xf>
    <xf numFmtId="0" fontId="36" fillId="5" borderId="0" xfId="0" applyFont="1" applyFill="1" applyAlignment="1">
      <alignment vertical="center" wrapText="1"/>
    </xf>
    <xf numFmtId="0" fontId="34" fillId="5" borderId="0" xfId="0" applyFont="1" applyFill="1" applyAlignment="1">
      <alignment horizontal="left" vertical="center" wrapText="1"/>
    </xf>
    <xf numFmtId="0" fontId="22" fillId="0" borderId="0" xfId="0" applyFont="1" applyAlignment="1">
      <alignment vertical="center"/>
    </xf>
    <xf numFmtId="0" fontId="40" fillId="6" borderId="0" xfId="0" applyFont="1" applyFill="1" applyAlignment="1">
      <alignment horizontal="left" vertical="center"/>
    </xf>
    <xf numFmtId="0" fontId="41" fillId="6" borderId="0" xfId="0" applyFont="1" applyFill="1" applyAlignment="1">
      <alignment horizontal="left" vertical="center" wrapText="1"/>
    </xf>
    <xf numFmtId="0" fontId="42" fillId="6" borderId="0" xfId="0" applyFont="1" applyFill="1" applyAlignment="1">
      <alignment horizontal="right" vertical="center"/>
    </xf>
    <xf numFmtId="0" fontId="43" fillId="6" borderId="0" xfId="0" applyFont="1" applyFill="1" applyAlignment="1">
      <alignment vertical="center"/>
    </xf>
    <xf numFmtId="0" fontId="44" fillId="7" borderId="0" xfId="0" applyFont="1" applyFill="1" applyAlignment="1">
      <alignment vertical="center" wrapText="1"/>
    </xf>
    <xf numFmtId="0" fontId="45" fillId="7" borderId="0" xfId="0" applyFont="1" applyFill="1" applyAlignment="1">
      <alignment horizontal="right" vertical="center"/>
    </xf>
    <xf numFmtId="0" fontId="35" fillId="7" borderId="0" xfId="0" applyFont="1" applyFill="1" applyAlignment="1">
      <alignment horizontal="right" vertical="center"/>
    </xf>
    <xf numFmtId="0" fontId="35" fillId="7" borderId="0" xfId="0" applyFont="1" applyFill="1" applyAlignment="1">
      <alignment vertical="center" wrapText="1"/>
    </xf>
    <xf numFmtId="0" fontId="35" fillId="2" borderId="0" xfId="0" applyFont="1" applyFill="1" applyAlignment="1">
      <alignment vertical="center"/>
    </xf>
    <xf numFmtId="0" fontId="35" fillId="2" borderId="0" xfId="0" applyFont="1" applyFill="1" applyAlignment="1">
      <alignment vertical="center" wrapText="1"/>
    </xf>
    <xf numFmtId="0" fontId="45" fillId="2" borderId="0" xfId="0" applyFont="1" applyFill="1" applyAlignment="1">
      <alignment horizontal="right" vertical="center"/>
    </xf>
    <xf numFmtId="0" fontId="35" fillId="5" borderId="0" xfId="0" applyFont="1" applyFill="1" applyAlignment="1">
      <alignment horizontal="right" vertical="center"/>
    </xf>
    <xf numFmtId="0" fontId="75" fillId="5" borderId="0" xfId="0" applyFont="1" applyFill="1" applyAlignment="1">
      <alignment vertical="center"/>
    </xf>
    <xf numFmtId="0" fontId="30" fillId="5" borderId="0" xfId="0" applyFont="1" applyFill="1" applyAlignment="1">
      <alignment vertical="center" wrapText="1"/>
    </xf>
    <xf numFmtId="0" fontId="30" fillId="5" borderId="0" xfId="0" applyFont="1" applyFill="1" applyAlignment="1">
      <alignment vertical="center"/>
    </xf>
    <xf numFmtId="0" fontId="49" fillId="5" borderId="0" xfId="0" applyFont="1" applyFill="1" applyAlignment="1">
      <alignment horizontal="right" vertical="center"/>
    </xf>
    <xf numFmtId="0" fontId="45" fillId="5" borderId="0" xfId="0" applyFont="1" applyFill="1" applyAlignment="1">
      <alignment horizontal="right" vertical="center"/>
    </xf>
    <xf numFmtId="0" fontId="50" fillId="6" borderId="0" xfId="0" applyFont="1" applyFill="1" applyAlignment="1">
      <alignment horizontal="left" vertical="center"/>
    </xf>
    <xf numFmtId="0" fontId="43" fillId="7" borderId="0" xfId="0" applyFont="1" applyFill="1" applyAlignment="1">
      <alignment vertical="center"/>
    </xf>
    <xf numFmtId="0" fontId="8" fillId="2" borderId="1" xfId="0" applyFont="1" applyFill="1" applyBorder="1" applyAlignment="1">
      <alignment vertical="center"/>
    </xf>
    <xf numFmtId="0" fontId="7" fillId="2" borderId="1" xfId="0" applyFont="1" applyFill="1" applyBorder="1" applyAlignment="1">
      <alignment vertical="center" wrapText="1"/>
    </xf>
    <xf numFmtId="0" fontId="10" fillId="2" borderId="1" xfId="2" applyNumberFormat="1" applyFont="1" applyFill="1" applyBorder="1" applyAlignment="1">
      <alignment horizontal="right" vertical="center"/>
    </xf>
    <xf numFmtId="0" fontId="10" fillId="2" borderId="1" xfId="0" applyFont="1" applyFill="1" applyBorder="1" applyAlignment="1">
      <alignment horizontal="right" vertical="center"/>
    </xf>
    <xf numFmtId="166" fontId="8" fillId="2" borderId="0" xfId="0" applyNumberFormat="1" applyFont="1" applyFill="1" applyAlignment="1">
      <alignment vertical="center"/>
    </xf>
    <xf numFmtId="0" fontId="21" fillId="2" borderId="0" xfId="0" applyFont="1" applyFill="1" applyAlignment="1">
      <alignment vertical="center"/>
    </xf>
    <xf numFmtId="0" fontId="21" fillId="2" borderId="0" xfId="0" applyFont="1" applyFill="1" applyAlignment="1">
      <alignment vertical="center" wrapText="1"/>
    </xf>
    <xf numFmtId="166" fontId="21" fillId="2" borderId="0" xfId="2" applyNumberFormat="1" applyFont="1" applyFill="1" applyBorder="1" applyAlignment="1">
      <alignment horizontal="right" vertical="center"/>
    </xf>
    <xf numFmtId="166" fontId="8" fillId="2" borderId="0" xfId="2" applyNumberFormat="1" applyFont="1" applyFill="1" applyBorder="1" applyAlignment="1">
      <alignment horizontal="right" vertical="center"/>
    </xf>
    <xf numFmtId="164" fontId="8" fillId="2" borderId="0" xfId="3" applyNumberFormat="1" applyFont="1" applyFill="1" applyBorder="1" applyAlignment="1">
      <alignment vertical="center"/>
    </xf>
    <xf numFmtId="164" fontId="8" fillId="2" borderId="0" xfId="3" applyNumberFormat="1" applyFont="1" applyFill="1" applyAlignment="1">
      <alignment vertical="center"/>
    </xf>
    <xf numFmtId="0" fontId="52" fillId="2" borderId="0" xfId="0" applyFont="1" applyFill="1" applyAlignment="1">
      <alignment vertical="center"/>
    </xf>
    <xf numFmtId="0" fontId="10" fillId="2" borderId="0" xfId="0" applyFont="1" applyFill="1" applyAlignment="1">
      <alignment vertical="center" wrapText="1"/>
    </xf>
    <xf numFmtId="166" fontId="10" fillId="2" borderId="0" xfId="2" applyNumberFormat="1" applyFont="1" applyFill="1" applyAlignment="1">
      <alignment horizontal="right" vertical="center"/>
    </xf>
    <xf numFmtId="166" fontId="7" fillId="2" borderId="0" xfId="2" applyNumberFormat="1" applyFont="1" applyFill="1" applyAlignment="1">
      <alignment horizontal="right" vertical="center"/>
    </xf>
    <xf numFmtId="0" fontId="54" fillId="2" borderId="0" xfId="0" applyFont="1" applyFill="1" applyAlignment="1">
      <alignment vertical="center" wrapText="1"/>
    </xf>
    <xf numFmtId="0" fontId="54" fillId="2" borderId="0" xfId="0" applyFont="1" applyFill="1" applyAlignment="1">
      <alignment vertical="center"/>
    </xf>
    <xf numFmtId="168" fontId="10" fillId="2" borderId="0" xfId="2" applyNumberFormat="1" applyFont="1" applyFill="1" applyAlignment="1">
      <alignment horizontal="right" vertical="center"/>
    </xf>
    <xf numFmtId="0" fontId="7" fillId="2" borderId="0" xfId="0" applyFont="1" applyFill="1" applyAlignment="1">
      <alignment vertical="center" wrapText="1"/>
    </xf>
    <xf numFmtId="9" fontId="10" fillId="2" borderId="0" xfId="3" applyFont="1" applyFill="1" applyAlignment="1">
      <alignment horizontal="left" vertical="center"/>
    </xf>
    <xf numFmtId="9" fontId="7" fillId="2" borderId="0" xfId="3" applyFont="1" applyFill="1" applyAlignment="1">
      <alignment vertical="center"/>
    </xf>
    <xf numFmtId="0" fontId="68" fillId="5" borderId="0" xfId="0" applyFont="1" applyFill="1" applyAlignment="1">
      <alignment vertical="center"/>
    </xf>
    <xf numFmtId="0" fontId="77" fillId="5" borderId="0" xfId="0" applyFont="1" applyFill="1" applyAlignment="1">
      <alignment vertical="center"/>
    </xf>
    <xf numFmtId="0" fontId="0" fillId="0" borderId="7" xfId="0" applyBorder="1" applyAlignment="1">
      <alignment vertical="center"/>
    </xf>
    <xf numFmtId="0" fontId="7" fillId="5" borderId="7" xfId="0" applyFont="1" applyFill="1" applyBorder="1" applyAlignment="1">
      <alignment vertical="center" wrapText="1"/>
    </xf>
    <xf numFmtId="3" fontId="7" fillId="5" borderId="7" xfId="0" applyNumberFormat="1" applyFont="1" applyFill="1" applyBorder="1" applyAlignment="1">
      <alignment horizontal="right" vertical="center"/>
    </xf>
    <xf numFmtId="0" fontId="76" fillId="0" borderId="7" xfId="0" applyFont="1" applyBorder="1" applyAlignment="1">
      <alignment vertical="center"/>
    </xf>
    <xf numFmtId="0" fontId="10" fillId="5" borderId="7" xfId="0" applyFont="1" applyFill="1" applyBorder="1" applyAlignment="1">
      <alignment vertical="center" wrapText="1"/>
    </xf>
    <xf numFmtId="0" fontId="46" fillId="22" borderId="7" xfId="0" applyFont="1" applyFill="1" applyBorder="1" applyAlignment="1">
      <alignment horizontal="left" vertical="center" wrapText="1"/>
    </xf>
    <xf numFmtId="0" fontId="22" fillId="0" borderId="7" xfId="0" applyFont="1" applyBorder="1" applyAlignment="1">
      <alignment horizontal="left" vertical="center" wrapText="1"/>
    </xf>
    <xf numFmtId="0" fontId="22" fillId="0" borderId="7" xfId="0" applyFont="1" applyBorder="1" applyAlignment="1">
      <alignment vertical="center" wrapText="1"/>
    </xf>
    <xf numFmtId="3" fontId="22" fillId="2" borderId="7" xfId="0" applyNumberFormat="1" applyFont="1" applyFill="1" applyBorder="1" applyAlignment="1">
      <alignment horizontal="right" vertical="center" wrapText="1"/>
    </xf>
    <xf numFmtId="0" fontId="29" fillId="0" borderId="7" xfId="0" applyFont="1" applyBorder="1" applyAlignment="1">
      <alignment vertical="center" wrapText="1"/>
    </xf>
    <xf numFmtId="3" fontId="29" fillId="2" borderId="7" xfId="0" applyNumberFormat="1" applyFont="1" applyFill="1" applyBorder="1" applyAlignment="1">
      <alignment horizontal="right" vertical="center" wrapText="1"/>
    </xf>
    <xf numFmtId="0" fontId="7" fillId="21" borderId="7" xfId="0" applyFont="1" applyFill="1" applyBorder="1" applyAlignment="1">
      <alignment vertical="center" wrapText="1"/>
    </xf>
    <xf numFmtId="0" fontId="7" fillId="0" borderId="7" xfId="0" applyFont="1" applyBorder="1" applyAlignment="1">
      <alignment horizontal="left" vertical="center" wrapText="1"/>
    </xf>
    <xf numFmtId="0" fontId="7" fillId="0" borderId="7" xfId="0" applyFont="1" applyBorder="1" applyAlignment="1">
      <alignment vertical="center" wrapText="1"/>
    </xf>
    <xf numFmtId="3" fontId="7" fillId="0" borderId="7" xfId="0" applyNumberFormat="1" applyFont="1" applyBorder="1" applyAlignment="1">
      <alignment vertical="center" wrapText="1"/>
    </xf>
    <xf numFmtId="0" fontId="21" fillId="4" borderId="7" xfId="0" applyFont="1" applyFill="1" applyBorder="1" applyAlignment="1">
      <alignment vertical="center"/>
    </xf>
    <xf numFmtId="0" fontId="21" fillId="4" borderId="7" xfId="0" applyFont="1" applyFill="1" applyBorder="1" applyAlignment="1">
      <alignment vertical="center" wrapText="1"/>
    </xf>
    <xf numFmtId="166" fontId="21" fillId="4" borderId="7" xfId="2" applyNumberFormat="1" applyFont="1" applyFill="1" applyBorder="1" applyAlignment="1">
      <alignment horizontal="right" vertical="center"/>
    </xf>
    <xf numFmtId="0" fontId="8" fillId="0" borderId="7" xfId="0" applyFont="1" applyBorder="1" applyAlignment="1">
      <alignment horizontal="left" vertical="center"/>
    </xf>
    <xf numFmtId="0" fontId="8" fillId="0" borderId="7" xfId="0" applyFont="1" applyBorder="1" applyAlignment="1">
      <alignment horizontal="left" vertical="center" wrapText="1"/>
    </xf>
    <xf numFmtId="0" fontId="8" fillId="2" borderId="7" xfId="0" applyFont="1" applyFill="1" applyBorder="1" applyAlignment="1">
      <alignment vertical="center"/>
    </xf>
    <xf numFmtId="3" fontId="10" fillId="0" borderId="7" xfId="0" applyNumberFormat="1" applyFont="1" applyBorder="1" applyAlignment="1">
      <alignment vertical="center"/>
    </xf>
    <xf numFmtId="166" fontId="10" fillId="2" borderId="7" xfId="2" applyNumberFormat="1" applyFont="1" applyFill="1" applyBorder="1" applyAlignment="1">
      <alignment horizontal="right" vertical="center"/>
    </xf>
    <xf numFmtId="3" fontId="21" fillId="0" borderId="7" xfId="0" applyNumberFormat="1" applyFont="1" applyBorder="1" applyAlignment="1">
      <alignment vertical="center"/>
    </xf>
    <xf numFmtId="167" fontId="8" fillId="2" borderId="7" xfId="2" applyNumberFormat="1" applyFont="1" applyFill="1" applyBorder="1" applyAlignment="1">
      <alignment horizontal="right" vertical="center"/>
    </xf>
    <xf numFmtId="166" fontId="8" fillId="2" borderId="7" xfId="2" applyNumberFormat="1" applyFont="1" applyFill="1" applyBorder="1" applyAlignment="1">
      <alignment horizontal="right" vertical="center"/>
    </xf>
    <xf numFmtId="0" fontId="21" fillId="0" borderId="7" xfId="0" applyFont="1" applyBorder="1" applyAlignment="1">
      <alignment vertical="center"/>
    </xf>
    <xf numFmtId="0" fontId="21" fillId="0" borderId="7" xfId="0" applyFont="1" applyBorder="1" applyAlignment="1">
      <alignment horizontal="left" vertical="center" wrapText="1"/>
    </xf>
    <xf numFmtId="0" fontId="21" fillId="2" borderId="7" xfId="0" applyFont="1" applyFill="1" applyBorder="1" applyAlignment="1">
      <alignment vertical="center"/>
    </xf>
    <xf numFmtId="166" fontId="21" fillId="2" borderId="7" xfId="2" applyNumberFormat="1" applyFont="1" applyFill="1" applyBorder="1" applyAlignment="1">
      <alignment horizontal="right" vertical="center"/>
    </xf>
    <xf numFmtId="166" fontId="10" fillId="0" borderId="7" xfId="2" applyNumberFormat="1" applyFont="1" applyBorder="1" applyAlignment="1">
      <alignment horizontal="right" vertical="center"/>
    </xf>
    <xf numFmtId="166" fontId="21" fillId="0" borderId="7" xfId="2" applyNumberFormat="1" applyFont="1" applyBorder="1" applyAlignment="1">
      <alignment horizontal="right" vertical="center"/>
    </xf>
    <xf numFmtId="0" fontId="21" fillId="0" borderId="7" xfId="0" applyFont="1" applyBorder="1" applyAlignment="1">
      <alignment vertical="center" wrapText="1"/>
    </xf>
    <xf numFmtId="9" fontId="21" fillId="4" borderId="7" xfId="3" applyFont="1" applyFill="1" applyBorder="1" applyAlignment="1">
      <alignment horizontal="right" vertical="center"/>
    </xf>
    <xf numFmtId="0" fontId="29" fillId="2" borderId="7" xfId="0" applyFont="1" applyFill="1" applyBorder="1" applyAlignment="1">
      <alignment vertical="center"/>
    </xf>
    <xf numFmtId="0" fontId="29" fillId="2" borderId="7" xfId="0" applyFont="1" applyFill="1" applyBorder="1" applyAlignment="1">
      <alignment vertical="center" wrapText="1"/>
    </xf>
    <xf numFmtId="0" fontId="29" fillId="0" borderId="7" xfId="0" applyFont="1" applyBorder="1" applyAlignment="1">
      <alignment vertical="center"/>
    </xf>
    <xf numFmtId="9" fontId="21" fillId="0" borderId="7" xfId="3" applyFont="1" applyBorder="1" applyAlignment="1">
      <alignment vertical="center"/>
    </xf>
    <xf numFmtId="0" fontId="72" fillId="4" borderId="7" xfId="0" applyFont="1" applyFill="1" applyBorder="1" applyAlignment="1">
      <alignment vertical="center"/>
    </xf>
    <xf numFmtId="0" fontId="8" fillId="0" borderId="7" xfId="0" applyFont="1" applyBorder="1" applyAlignment="1">
      <alignment vertical="center" wrapText="1"/>
    </xf>
    <xf numFmtId="0" fontId="7" fillId="0" borderId="7" xfId="0" applyFont="1" applyBorder="1" applyAlignment="1">
      <alignment vertical="center"/>
    </xf>
    <xf numFmtId="3" fontId="8" fillId="0" borderId="7" xfId="0" applyNumberFormat="1" applyFont="1" applyBorder="1" applyAlignment="1">
      <alignment horizontal="right" vertical="center" wrapText="1"/>
    </xf>
    <xf numFmtId="166" fontId="7" fillId="0" borderId="7" xfId="2" applyNumberFormat="1" applyFont="1" applyBorder="1" applyAlignment="1">
      <alignment horizontal="right" vertical="center"/>
    </xf>
    <xf numFmtId="3" fontId="7" fillId="0" borderId="7" xfId="0" applyNumberFormat="1" applyFont="1" applyBorder="1" applyAlignment="1">
      <alignment horizontal="right" vertical="center" wrapText="1"/>
    </xf>
    <xf numFmtId="0" fontId="52" fillId="0" borderId="7" xfId="0" applyFont="1" applyBorder="1" applyAlignment="1">
      <alignment vertical="center"/>
    </xf>
    <xf numFmtId="0" fontId="10" fillId="0" borderId="7" xfId="0" applyFont="1" applyBorder="1" applyAlignment="1">
      <alignment vertical="center"/>
    </xf>
    <xf numFmtId="3" fontId="21" fillId="0" borderId="7" xfId="0" applyNumberFormat="1" applyFont="1" applyBorder="1" applyAlignment="1">
      <alignment horizontal="right" vertical="center" wrapText="1"/>
    </xf>
    <xf numFmtId="0" fontId="52" fillId="0" borderId="7" xfId="0" applyFont="1" applyBorder="1" applyAlignment="1">
      <alignment vertical="center" wrapText="1"/>
    </xf>
    <xf numFmtId="0" fontId="8" fillId="0" borderId="7" xfId="0" applyFont="1" applyBorder="1" applyAlignment="1">
      <alignment vertical="center"/>
    </xf>
    <xf numFmtId="166" fontId="22" fillId="0" borderId="7" xfId="2" applyNumberFormat="1" applyFont="1" applyBorder="1" applyAlignment="1">
      <alignment horizontal="right" vertical="center"/>
    </xf>
    <xf numFmtId="164" fontId="7" fillId="0" borderId="7" xfId="2" applyNumberFormat="1" applyFont="1" applyBorder="1" applyAlignment="1">
      <alignment horizontal="right" vertical="center"/>
    </xf>
    <xf numFmtId="0" fontId="7" fillId="2" borderId="7" xfId="0" applyFont="1" applyFill="1" applyBorder="1" applyAlignment="1">
      <alignment vertical="center"/>
    </xf>
    <xf numFmtId="0" fontId="71" fillId="0" borderId="7" xfId="0" applyFont="1" applyBorder="1" applyAlignment="1">
      <alignment vertical="center"/>
    </xf>
    <xf numFmtId="0" fontId="8" fillId="2" borderId="7" xfId="0" applyFont="1" applyFill="1" applyBorder="1" applyAlignment="1">
      <alignment vertical="center" wrapText="1"/>
    </xf>
    <xf numFmtId="166" fontId="7" fillId="0" borderId="7" xfId="2" applyNumberFormat="1" applyFont="1" applyFill="1" applyBorder="1" applyAlignment="1">
      <alignment horizontal="right" vertical="center"/>
    </xf>
    <xf numFmtId="1" fontId="22" fillId="0" borderId="7" xfId="2" applyNumberFormat="1" applyFont="1" applyFill="1" applyBorder="1" applyAlignment="1">
      <alignment horizontal="right" vertical="center"/>
    </xf>
    <xf numFmtId="0" fontId="78" fillId="0" borderId="7" xfId="0" applyFont="1" applyBorder="1" applyAlignment="1">
      <alignment vertical="center"/>
    </xf>
    <xf numFmtId="166" fontId="10" fillId="0" borderId="7" xfId="2" applyNumberFormat="1" applyFont="1" applyFill="1" applyBorder="1" applyAlignment="1">
      <alignment horizontal="right" vertical="center"/>
    </xf>
    <xf numFmtId="170" fontId="7" fillId="0" borderId="7" xfId="0" applyNumberFormat="1" applyFont="1" applyBorder="1" applyAlignment="1">
      <alignment vertical="center"/>
    </xf>
    <xf numFmtId="1" fontId="7" fillId="0" borderId="7" xfId="2" applyNumberFormat="1" applyFont="1" applyFill="1" applyBorder="1" applyAlignment="1">
      <alignment horizontal="right" vertical="center"/>
    </xf>
    <xf numFmtId="0" fontId="7" fillId="5" borderId="7" xfId="0" applyFont="1" applyFill="1" applyBorder="1" applyAlignment="1">
      <alignment horizontal="center" vertical="center"/>
    </xf>
    <xf numFmtId="0" fontId="6" fillId="2" borderId="7" xfId="0" applyFont="1" applyFill="1" applyBorder="1" applyAlignment="1">
      <alignment vertical="center" wrapText="1"/>
    </xf>
    <xf numFmtId="0" fontId="7" fillId="5" borderId="7" xfId="0" applyFont="1" applyFill="1" applyBorder="1" applyAlignment="1">
      <alignment vertical="center"/>
    </xf>
    <xf numFmtId="0" fontId="7" fillId="5" borderId="7" xfId="0" applyFont="1" applyFill="1" applyBorder="1" applyAlignment="1">
      <alignment horizontal="center" vertical="center" wrapText="1"/>
    </xf>
    <xf numFmtId="0" fontId="22" fillId="5" borderId="7" xfId="0" applyFont="1" applyFill="1" applyBorder="1" applyAlignment="1">
      <alignment vertical="center" wrapText="1"/>
    </xf>
    <xf numFmtId="0" fontId="22" fillId="5" borderId="7" xfId="0" applyFont="1" applyFill="1" applyBorder="1" applyAlignment="1">
      <alignment vertical="center"/>
    </xf>
    <xf numFmtId="166" fontId="7" fillId="7" borderId="7" xfId="2" applyNumberFormat="1" applyFont="1" applyFill="1" applyBorder="1" applyAlignment="1">
      <alignment horizontal="right" vertical="center"/>
    </xf>
    <xf numFmtId="0" fontId="22" fillId="0" borderId="7" xfId="0" applyFont="1" applyBorder="1" applyAlignment="1">
      <alignment vertical="center"/>
    </xf>
    <xf numFmtId="165" fontId="22" fillId="0" borderId="7" xfId="0" applyNumberFormat="1" applyFont="1" applyBorder="1" applyAlignment="1">
      <alignment horizontal="right" vertical="center"/>
    </xf>
    <xf numFmtId="169" fontId="20" fillId="0" borderId="7" xfId="0" applyNumberFormat="1" applyFont="1" applyBorder="1" applyAlignment="1">
      <alignment horizontal="center" vertical="center" wrapText="1"/>
    </xf>
    <xf numFmtId="0" fontId="7" fillId="0" borderId="7" xfId="0" applyFont="1" applyBorder="1" applyAlignment="1">
      <alignment horizontal="center" vertical="center"/>
    </xf>
    <xf numFmtId="0" fontId="7" fillId="0" borderId="7" xfId="0" applyFont="1" applyBorder="1" applyAlignment="1">
      <alignment horizontal="center" vertical="center" wrapText="1"/>
    </xf>
    <xf numFmtId="3" fontId="7" fillId="0" borderId="7" xfId="0" applyNumberFormat="1" applyFont="1" applyBorder="1" applyAlignment="1">
      <alignment vertical="center"/>
    </xf>
    <xf numFmtId="0" fontId="7" fillId="0" borderId="7" xfId="0" applyFont="1" applyBorder="1" applyAlignment="1">
      <alignment horizontal="left" vertical="center"/>
    </xf>
    <xf numFmtId="10" fontId="7" fillId="0" borderId="7" xfId="0" applyNumberFormat="1" applyFont="1" applyBorder="1" applyAlignment="1">
      <alignment vertical="center"/>
    </xf>
    <xf numFmtId="0" fontId="10" fillId="4" borderId="7" xfId="0" applyFont="1" applyFill="1" applyBorder="1" applyAlignment="1">
      <alignment vertical="center"/>
    </xf>
    <xf numFmtId="0" fontId="10" fillId="4" borderId="7" xfId="0" applyFont="1" applyFill="1" applyBorder="1" applyAlignment="1">
      <alignment vertical="center" wrapText="1"/>
    </xf>
    <xf numFmtId="0" fontId="52" fillId="10" borderId="7" xfId="0" applyFont="1" applyFill="1" applyBorder="1" applyAlignment="1">
      <alignment horizontal="center" vertical="center" wrapText="1"/>
    </xf>
    <xf numFmtId="0" fontId="81" fillId="10" borderId="7" xfId="0" applyFont="1" applyFill="1" applyBorder="1" applyAlignment="1">
      <alignment horizontal="center" vertical="center"/>
    </xf>
    <xf numFmtId="0" fontId="81" fillId="10" borderId="7" xfId="0" applyFont="1" applyFill="1" applyBorder="1" applyAlignment="1">
      <alignment horizontal="center" vertical="center" wrapText="1"/>
    </xf>
    <xf numFmtId="0" fontId="84" fillId="22" borderId="7" xfId="0" applyFont="1" applyFill="1" applyBorder="1" applyAlignment="1">
      <alignment horizontal="left" vertical="center" wrapText="1"/>
    </xf>
    <xf numFmtId="0" fontId="52" fillId="22" borderId="7" xfId="0" applyFont="1" applyFill="1" applyBorder="1" applyAlignment="1">
      <alignment horizontal="center" vertical="center" wrapText="1"/>
    </xf>
    <xf numFmtId="0" fontId="52" fillId="22" borderId="7" xfId="0" applyFont="1" applyFill="1" applyBorder="1" applyAlignment="1">
      <alignment horizontal="right" vertical="center" wrapText="1"/>
    </xf>
    <xf numFmtId="0" fontId="81" fillId="22" borderId="7" xfId="0" applyFont="1" applyFill="1" applyBorder="1" applyAlignment="1">
      <alignment horizontal="right" vertical="center"/>
    </xf>
    <xf numFmtId="0" fontId="10" fillId="0" borderId="7" xfId="0" applyFont="1" applyBorder="1" applyAlignment="1">
      <alignment vertical="center" wrapText="1"/>
    </xf>
    <xf numFmtId="3" fontId="10" fillId="0" borderId="7" xfId="0" applyNumberFormat="1" applyFont="1" applyBorder="1" applyAlignment="1">
      <alignment vertical="center" wrapText="1"/>
    </xf>
    <xf numFmtId="3" fontId="10" fillId="5" borderId="7" xfId="0" applyNumberFormat="1" applyFont="1" applyFill="1" applyBorder="1" applyAlignment="1">
      <alignment horizontal="right" vertical="center"/>
    </xf>
    <xf numFmtId="0" fontId="10" fillId="5" borderId="7" xfId="0" applyFont="1" applyFill="1" applyBorder="1" applyAlignment="1">
      <alignment horizontal="right" vertical="center"/>
    </xf>
    <xf numFmtId="171" fontId="10" fillId="5" borderId="7" xfId="0" applyNumberFormat="1" applyFont="1" applyFill="1" applyBorder="1" applyAlignment="1">
      <alignment horizontal="right" vertical="center"/>
    </xf>
    <xf numFmtId="3" fontId="10" fillId="4" borderId="7" xfId="0" applyNumberFormat="1" applyFont="1" applyFill="1" applyBorder="1" applyAlignment="1">
      <alignment horizontal="right" vertical="center"/>
    </xf>
    <xf numFmtId="0" fontId="10" fillId="4" borderId="7" xfId="0" applyFont="1" applyFill="1" applyBorder="1" applyAlignment="1">
      <alignment horizontal="right" vertical="center"/>
    </xf>
    <xf numFmtId="3" fontId="29" fillId="4" borderId="7" xfId="0" applyNumberFormat="1" applyFont="1" applyFill="1" applyBorder="1" applyAlignment="1">
      <alignment horizontal="right" vertical="center" wrapText="1"/>
    </xf>
    <xf numFmtId="3" fontId="10" fillId="4" borderId="7" xfId="0" applyNumberFormat="1" applyFont="1" applyFill="1" applyBorder="1" applyAlignment="1">
      <alignment vertical="center" wrapText="1"/>
    </xf>
    <xf numFmtId="166" fontId="10" fillId="4" borderId="7" xfId="2" applyNumberFormat="1" applyFont="1" applyFill="1" applyBorder="1" applyAlignment="1">
      <alignment horizontal="right" vertical="center"/>
    </xf>
    <xf numFmtId="166" fontId="8" fillId="4" borderId="7" xfId="2" applyNumberFormat="1" applyFont="1" applyFill="1" applyBorder="1" applyAlignment="1">
      <alignment horizontal="right" vertical="center"/>
    </xf>
    <xf numFmtId="0" fontId="85" fillId="21" borderId="7" xfId="0" applyFont="1" applyFill="1" applyBorder="1" applyAlignment="1">
      <alignment vertical="center"/>
    </xf>
    <xf numFmtId="0" fontId="52" fillId="22" borderId="7" xfId="0" applyFont="1" applyFill="1" applyBorder="1" applyAlignment="1">
      <alignment horizontal="left" vertical="center" wrapText="1"/>
    </xf>
    <xf numFmtId="0" fontId="52" fillId="21" borderId="7" xfId="2" applyNumberFormat="1" applyFont="1" applyFill="1" applyBorder="1" applyAlignment="1">
      <alignment horizontal="right" vertical="center"/>
    </xf>
    <xf numFmtId="0" fontId="80" fillId="4" borderId="7" xfId="0" applyFont="1" applyFill="1" applyBorder="1" applyAlignment="1">
      <alignment vertical="center"/>
    </xf>
    <xf numFmtId="0" fontId="52" fillId="21" borderId="7" xfId="0" applyFont="1" applyFill="1" applyBorder="1" applyAlignment="1">
      <alignment horizontal="left" vertical="center" wrapText="1"/>
    </xf>
    <xf numFmtId="0" fontId="46" fillId="23" borderId="7" xfId="0" applyFont="1" applyFill="1" applyBorder="1" applyAlignment="1">
      <alignment horizontal="left" vertical="center" wrapText="1"/>
    </xf>
    <xf numFmtId="0" fontId="85" fillId="22" borderId="7" xfId="0" applyFont="1" applyFill="1" applyBorder="1" applyAlignment="1">
      <alignment vertical="center"/>
    </xf>
    <xf numFmtId="169" fontId="85" fillId="8" borderId="7" xfId="0" applyNumberFormat="1" applyFont="1" applyFill="1" applyBorder="1" applyAlignment="1">
      <alignment vertical="center" wrapText="1"/>
    </xf>
    <xf numFmtId="0" fontId="81" fillId="22" borderId="7" xfId="0" applyFont="1" applyFill="1" applyBorder="1" applyAlignment="1">
      <alignment horizontal="center" vertical="center"/>
    </xf>
    <xf numFmtId="0" fontId="10" fillId="4" borderId="7" xfId="0" applyFont="1" applyFill="1" applyBorder="1" applyAlignment="1">
      <alignment horizontal="center" vertical="center" wrapText="1"/>
    </xf>
    <xf numFmtId="3" fontId="10" fillId="4" borderId="7" xfId="0" applyNumberFormat="1" applyFont="1" applyFill="1" applyBorder="1" applyAlignment="1">
      <alignment vertical="center"/>
    </xf>
    <xf numFmtId="0" fontId="10" fillId="23" borderId="7" xfId="0" applyFont="1" applyFill="1" applyBorder="1" applyAlignment="1">
      <alignment horizontal="center" vertical="center" wrapText="1"/>
    </xf>
    <xf numFmtId="166" fontId="10" fillId="23" borderId="7" xfId="2" applyNumberFormat="1" applyFont="1" applyFill="1" applyBorder="1" applyAlignment="1">
      <alignment horizontal="right" vertical="center"/>
    </xf>
    <xf numFmtId="171" fontId="29" fillId="4" borderId="7" xfId="0" applyNumberFormat="1" applyFont="1" applyFill="1" applyBorder="1" applyAlignment="1">
      <alignment horizontal="right" vertical="center"/>
    </xf>
    <xf numFmtId="0" fontId="29" fillId="4" borderId="7" xfId="0" applyFont="1" applyFill="1" applyBorder="1" applyAlignment="1">
      <alignment horizontal="right" vertical="center"/>
    </xf>
    <xf numFmtId="10" fontId="10" fillId="4" borderId="7" xfId="0" applyNumberFormat="1" applyFont="1" applyFill="1" applyBorder="1" applyAlignment="1">
      <alignment vertical="center"/>
    </xf>
    <xf numFmtId="167" fontId="10" fillId="4" borderId="7" xfId="2" applyNumberFormat="1" applyFont="1" applyFill="1" applyBorder="1" applyAlignment="1">
      <alignment horizontal="right" vertical="center"/>
    </xf>
    <xf numFmtId="0" fontId="52" fillId="21" borderId="7" xfId="0" applyFont="1" applyFill="1" applyBorder="1" applyAlignment="1">
      <alignment horizontal="center" vertical="center"/>
    </xf>
    <xf numFmtId="0" fontId="7" fillId="4" borderId="7" xfId="0" applyFont="1" applyFill="1" applyBorder="1" applyAlignment="1">
      <alignment vertical="center"/>
    </xf>
    <xf numFmtId="9" fontId="10" fillId="4" borderId="7" xfId="0" applyNumberFormat="1" applyFont="1" applyFill="1" applyBorder="1" applyAlignment="1">
      <alignment vertical="center"/>
    </xf>
    <xf numFmtId="166" fontId="7" fillId="4" borderId="7" xfId="2" applyNumberFormat="1" applyFont="1" applyFill="1" applyBorder="1" applyAlignment="1">
      <alignment horizontal="right" vertical="center"/>
    </xf>
    <xf numFmtId="166" fontId="22" fillId="4" borderId="7" xfId="2" applyNumberFormat="1" applyFont="1" applyFill="1" applyBorder="1" applyAlignment="1">
      <alignment horizontal="right" vertical="center"/>
    </xf>
    <xf numFmtId="164" fontId="7" fillId="4" borderId="7" xfId="2" applyNumberFormat="1" applyFont="1" applyFill="1" applyBorder="1" applyAlignment="1">
      <alignment horizontal="right" vertical="center"/>
    </xf>
    <xf numFmtId="1" fontId="22" fillId="4" borderId="7" xfId="2" applyNumberFormat="1" applyFont="1" applyFill="1" applyBorder="1" applyAlignment="1">
      <alignment horizontal="right" vertical="center"/>
    </xf>
    <xf numFmtId="0" fontId="52" fillId="21" borderId="7" xfId="0" applyFont="1" applyFill="1" applyBorder="1" applyAlignment="1">
      <alignment horizontal="right" vertical="center" wrapText="1"/>
    </xf>
    <xf numFmtId="0" fontId="81" fillId="21" borderId="7" xfId="0" applyFont="1" applyFill="1" applyBorder="1" applyAlignment="1">
      <alignment horizontal="right" vertical="center" wrapText="1"/>
    </xf>
    <xf numFmtId="0" fontId="81" fillId="21" borderId="7" xfId="0" applyFont="1" applyFill="1" applyBorder="1" applyAlignment="1">
      <alignment horizontal="right" vertical="center"/>
    </xf>
    <xf numFmtId="0" fontId="81" fillId="21" borderId="7" xfId="2" applyNumberFormat="1" applyFont="1" applyFill="1" applyBorder="1" applyAlignment="1">
      <alignment horizontal="right" vertical="center"/>
    </xf>
    <xf numFmtId="0" fontId="8" fillId="2" borderId="7" xfId="0" applyFont="1" applyFill="1" applyBorder="1" applyAlignment="1">
      <alignment wrapText="1"/>
    </xf>
    <xf numFmtId="0" fontId="7" fillId="2" borderId="7" xfId="0" applyFont="1" applyFill="1" applyBorder="1" applyAlignment="1">
      <alignment horizontal="left" vertical="center" wrapText="1"/>
    </xf>
    <xf numFmtId="0" fontId="82" fillId="24" borderId="7" xfId="0" applyFont="1" applyFill="1" applyBorder="1" applyAlignment="1">
      <alignment vertical="center" wrapText="1"/>
    </xf>
    <xf numFmtId="0" fontId="7" fillId="24" borderId="7" xfId="0" applyFont="1" applyFill="1" applyBorder="1" applyAlignment="1">
      <alignment horizontal="center" vertical="center"/>
    </xf>
    <xf numFmtId="164" fontId="8" fillId="25" borderId="7" xfId="3" applyNumberFormat="1" applyFont="1" applyFill="1" applyBorder="1" applyAlignment="1">
      <alignment vertical="center"/>
    </xf>
    <xf numFmtId="0" fontId="8" fillId="25" borderId="7" xfId="0" applyFont="1" applyFill="1" applyBorder="1" applyAlignment="1">
      <alignment vertical="center"/>
    </xf>
    <xf numFmtId="9" fontId="8" fillId="25" borderId="7" xfId="3" applyFont="1" applyFill="1" applyBorder="1" applyAlignment="1">
      <alignment vertical="center"/>
    </xf>
    <xf numFmtId="0" fontId="82" fillId="24" borderId="7" xfId="0" applyFont="1" applyFill="1" applyBorder="1" applyAlignment="1">
      <alignment horizontal="right" vertical="center" wrapText="1"/>
    </xf>
    <xf numFmtId="0" fontId="82" fillId="24" borderId="7" xfId="0" applyFont="1" applyFill="1" applyBorder="1" applyAlignment="1">
      <alignment horizontal="center" vertical="center" wrapText="1"/>
    </xf>
    <xf numFmtId="0" fontId="81" fillId="24" borderId="7" xfId="0" applyFont="1" applyFill="1" applyBorder="1" applyAlignment="1">
      <alignment horizontal="center" vertical="center"/>
    </xf>
    <xf numFmtId="9" fontId="21" fillId="25" borderId="7" xfId="3" applyFont="1" applyFill="1" applyBorder="1" applyAlignment="1">
      <alignment vertical="center"/>
    </xf>
    <xf numFmtId="0" fontId="25" fillId="26" borderId="7" xfId="0" applyFont="1" applyFill="1" applyBorder="1" applyAlignment="1">
      <alignment horizontal="right" vertical="center" wrapText="1"/>
    </xf>
    <xf numFmtId="0" fontId="8" fillId="0" borderId="7" xfId="0" applyFont="1" applyBorder="1" applyAlignment="1">
      <alignment horizontal="right" wrapText="1"/>
    </xf>
    <xf numFmtId="0" fontId="58" fillId="11" borderId="7" xfId="0" applyFont="1" applyFill="1" applyBorder="1" applyAlignment="1">
      <alignment vertical="center"/>
    </xf>
    <xf numFmtId="0" fontId="10" fillId="21" borderId="7" xfId="0" applyFont="1" applyFill="1" applyBorder="1" applyAlignment="1">
      <alignment horizontal="left" vertical="center"/>
    </xf>
    <xf numFmtId="0" fontId="12" fillId="21" borderId="7" xfId="0" applyFont="1" applyFill="1" applyBorder="1" applyAlignment="1">
      <alignment vertical="center" wrapText="1"/>
    </xf>
    <xf numFmtId="0" fontId="7" fillId="21" borderId="7" xfId="0" applyFont="1" applyFill="1" applyBorder="1" applyAlignment="1">
      <alignment horizontal="center" vertical="center" wrapText="1"/>
    </xf>
    <xf numFmtId="0" fontId="8" fillId="2" borderId="7" xfId="0" applyFont="1" applyFill="1" applyBorder="1" applyAlignment="1">
      <alignment horizontal="left" indent="2"/>
    </xf>
    <xf numFmtId="0" fontId="8" fillId="2" borderId="7" xfId="0" applyFont="1" applyFill="1" applyBorder="1" applyAlignment="1">
      <alignment horizontal="left" wrapText="1" indent="2"/>
    </xf>
    <xf numFmtId="0" fontId="11" fillId="2" borderId="7" xfId="0" applyFont="1" applyFill="1" applyBorder="1" applyAlignment="1">
      <alignment vertical="center" wrapText="1"/>
    </xf>
    <xf numFmtId="166" fontId="7" fillId="0" borderId="7" xfId="2" applyNumberFormat="1" applyFont="1" applyBorder="1" applyAlignment="1">
      <alignment horizontal="center" vertical="center" wrapText="1"/>
    </xf>
    <xf numFmtId="0" fontId="64" fillId="0" borderId="7" xfId="0" applyFont="1" applyBorder="1" applyAlignment="1">
      <alignment vertical="center" wrapText="1"/>
    </xf>
    <xf numFmtId="166" fontId="10" fillId="0" borderId="7" xfId="2" applyNumberFormat="1" applyFont="1" applyBorder="1" applyAlignment="1">
      <alignment horizontal="center" vertical="center" wrapText="1"/>
    </xf>
    <xf numFmtId="166" fontId="8" fillId="17" borderId="7" xfId="2" applyNumberFormat="1" applyFont="1" applyFill="1" applyBorder="1" applyAlignment="1">
      <alignment horizontal="center" vertical="center" wrapText="1"/>
    </xf>
    <xf numFmtId="166" fontId="7" fillId="17" borderId="7" xfId="2" applyNumberFormat="1" applyFont="1" applyFill="1" applyBorder="1" applyAlignment="1">
      <alignment horizontal="center" vertical="center" wrapText="1"/>
    </xf>
    <xf numFmtId="0" fontId="13" fillId="2" borderId="7" xfId="0" applyFont="1" applyFill="1" applyBorder="1" applyAlignment="1">
      <alignment vertical="center"/>
    </xf>
    <xf numFmtId="166" fontId="10" fillId="2" borderId="7" xfId="2" applyNumberFormat="1" applyFont="1" applyFill="1" applyBorder="1" applyAlignment="1">
      <alignment horizontal="center" vertical="center" wrapText="1"/>
    </xf>
    <xf numFmtId="0" fontId="8" fillId="2" borderId="7" xfId="0" applyFont="1" applyFill="1" applyBorder="1"/>
    <xf numFmtId="166" fontId="7" fillId="16" borderId="7" xfId="2" applyNumberFormat="1" applyFont="1" applyFill="1" applyBorder="1" applyAlignment="1">
      <alignment horizontal="center" vertical="center" wrapText="1"/>
    </xf>
    <xf numFmtId="166" fontId="7" fillId="0" borderId="7" xfId="2" applyNumberFormat="1" applyFont="1" applyBorder="1" applyAlignment="1">
      <alignment horizontal="center" vertical="top" wrapText="1"/>
    </xf>
    <xf numFmtId="166" fontId="7" fillId="2" borderId="7" xfId="2" applyNumberFormat="1" applyFont="1" applyFill="1" applyBorder="1" applyAlignment="1">
      <alignment horizontal="center" vertical="center" wrapText="1"/>
    </xf>
    <xf numFmtId="164" fontId="7" fillId="2" borderId="7" xfId="2" applyNumberFormat="1" applyFont="1" applyFill="1" applyBorder="1" applyAlignment="1">
      <alignment horizontal="right" vertical="center" wrapText="1"/>
    </xf>
    <xf numFmtId="0" fontId="8" fillId="2" borderId="7" xfId="0" applyFont="1" applyFill="1" applyBorder="1" applyAlignment="1">
      <alignment horizontal="center" vertical="center" wrapText="1"/>
    </xf>
    <xf numFmtId="0" fontId="8" fillId="17" borderId="7" xfId="0" applyFont="1" applyFill="1" applyBorder="1" applyAlignment="1">
      <alignment horizontal="center" vertical="center" wrapText="1"/>
    </xf>
    <xf numFmtId="0" fontId="66" fillId="2" borderId="7" xfId="0" applyFont="1" applyFill="1" applyBorder="1" applyAlignment="1">
      <alignment vertical="center" wrapText="1"/>
    </xf>
    <xf numFmtId="9" fontId="8" fillId="2" borderId="7" xfId="3" applyFont="1" applyFill="1" applyBorder="1"/>
    <xf numFmtId="0" fontId="65" fillId="0" borderId="7" xfId="0" applyFont="1" applyBorder="1" applyAlignment="1">
      <alignment vertical="center" wrapText="1"/>
    </xf>
    <xf numFmtId="0" fontId="58" fillId="26" borderId="7" xfId="0" applyFont="1" applyFill="1" applyBorder="1" applyAlignment="1">
      <alignment vertical="center"/>
    </xf>
    <xf numFmtId="0" fontId="25" fillId="26" borderId="7" xfId="0" applyFont="1" applyFill="1" applyBorder="1" applyAlignment="1">
      <alignment horizontal="right" vertical="center"/>
    </xf>
    <xf numFmtId="0" fontId="25" fillId="26" borderId="7" xfId="0" applyFont="1" applyFill="1" applyBorder="1" applyAlignment="1">
      <alignment horizontal="center" vertical="center"/>
    </xf>
    <xf numFmtId="0" fontId="11" fillId="2" borderId="0" xfId="0" applyFont="1" applyFill="1" applyAlignment="1">
      <alignment vertical="center" wrapText="1"/>
    </xf>
    <xf numFmtId="0" fontId="11" fillId="3" borderId="3" xfId="0" applyFont="1" applyFill="1" applyBorder="1"/>
    <xf numFmtId="0" fontId="7" fillId="2" borderId="7" xfId="0" applyFont="1" applyFill="1" applyBorder="1" applyAlignment="1">
      <alignment horizontal="left" wrapText="1" indent="1"/>
    </xf>
    <xf numFmtId="0" fontId="10" fillId="2" borderId="7" xfId="0" applyFont="1" applyFill="1" applyBorder="1" applyAlignment="1">
      <alignment wrapText="1"/>
    </xf>
    <xf numFmtId="0" fontId="66" fillId="2" borderId="7" xfId="0" applyFont="1" applyFill="1" applyBorder="1" applyAlignment="1">
      <alignment vertical="center"/>
    </xf>
    <xf numFmtId="166" fontId="8" fillId="2" borderId="7" xfId="2" applyNumberFormat="1" applyFont="1" applyFill="1" applyBorder="1" applyAlignment="1">
      <alignment horizontal="center" vertical="center"/>
    </xf>
    <xf numFmtId="10" fontId="8" fillId="2" borderId="0" xfId="0" applyNumberFormat="1" applyFont="1" applyFill="1" applyAlignment="1">
      <alignment vertical="center"/>
    </xf>
    <xf numFmtId="2" fontId="8" fillId="2" borderId="0" xfId="0" applyNumberFormat="1" applyFont="1" applyFill="1" applyAlignment="1">
      <alignment vertical="center"/>
    </xf>
    <xf numFmtId="2" fontId="8" fillId="2" borderId="0" xfId="3" applyNumberFormat="1" applyFont="1" applyFill="1" applyBorder="1" applyAlignment="1">
      <alignment vertical="center"/>
    </xf>
    <xf numFmtId="2" fontId="8" fillId="2" borderId="0" xfId="3" applyNumberFormat="1" applyFont="1" applyFill="1" applyAlignment="1">
      <alignment vertical="center"/>
    </xf>
    <xf numFmtId="0" fontId="7" fillId="21" borderId="10" xfId="0" applyFont="1" applyFill="1" applyBorder="1" applyAlignment="1">
      <alignment horizontal="center" vertical="center" wrapText="1"/>
    </xf>
    <xf numFmtId="0" fontId="7" fillId="0" borderId="7" xfId="0" applyFont="1" applyBorder="1" applyAlignment="1">
      <alignment horizontal="left" vertical="center" indent="1"/>
    </xf>
    <xf numFmtId="0" fontId="7" fillId="0" borderId="7" xfId="0" applyFont="1" applyBorder="1" applyAlignment="1">
      <alignment horizontal="left" vertical="center" wrapText="1" indent="1"/>
    </xf>
    <xf numFmtId="170" fontId="7" fillId="0" borderId="7" xfId="0" applyNumberFormat="1" applyFont="1" applyBorder="1" applyAlignment="1">
      <alignment horizontal="center" vertical="center"/>
    </xf>
    <xf numFmtId="2" fontId="8" fillId="2" borderId="0" xfId="0" applyNumberFormat="1" applyFont="1" applyFill="1"/>
    <xf numFmtId="166" fontId="8" fillId="2" borderId="0" xfId="2" applyNumberFormat="1" applyFont="1" applyFill="1"/>
    <xf numFmtId="0" fontId="21" fillId="2" borderId="7" xfId="0" applyFont="1" applyFill="1" applyBorder="1" applyAlignment="1">
      <alignment vertical="center" wrapText="1"/>
    </xf>
    <xf numFmtId="0" fontId="10" fillId="0" borderId="8" xfId="0" applyFont="1" applyBorder="1" applyAlignment="1">
      <alignment vertical="center"/>
    </xf>
    <xf numFmtId="0" fontId="8" fillId="0" borderId="6" xfId="0" applyFont="1" applyBorder="1" applyAlignment="1">
      <alignment vertical="center" wrapText="1"/>
    </xf>
    <xf numFmtId="0" fontId="13" fillId="0" borderId="6" xfId="0" applyFont="1" applyBorder="1" applyAlignment="1">
      <alignment vertical="center" wrapText="1"/>
    </xf>
    <xf numFmtId="166" fontId="7" fillId="0" borderId="6" xfId="2" applyNumberFormat="1" applyFont="1" applyBorder="1" applyAlignment="1">
      <alignment horizontal="center" vertical="center" wrapText="1"/>
    </xf>
    <xf numFmtId="0" fontId="7" fillId="0" borderId="6" xfId="0" applyFont="1" applyBorder="1" applyAlignment="1">
      <alignment vertical="center" wrapText="1"/>
    </xf>
    <xf numFmtId="0" fontId="12" fillId="0" borderId="6" xfId="0" applyFont="1" applyBorder="1" applyAlignment="1">
      <alignment vertical="center" wrapText="1"/>
    </xf>
    <xf numFmtId="0" fontId="11" fillId="2" borderId="8" xfId="0" applyFont="1" applyFill="1" applyBorder="1" applyAlignment="1">
      <alignment vertical="center" wrapText="1"/>
    </xf>
    <xf numFmtId="166" fontId="7" fillId="0" borderId="8" xfId="2" applyNumberFormat="1" applyFont="1" applyBorder="1" applyAlignment="1">
      <alignment horizontal="center" vertical="center" wrapText="1"/>
    </xf>
    <xf numFmtId="0" fontId="8" fillId="2" borderId="6" xfId="0" applyFont="1" applyFill="1" applyBorder="1" applyAlignment="1">
      <alignment horizontal="left" indent="2"/>
    </xf>
    <xf numFmtId="166" fontId="10" fillId="0" borderId="6" xfId="2" applyNumberFormat="1" applyFont="1" applyBorder="1" applyAlignment="1">
      <alignment horizontal="center" vertical="center" wrapText="1"/>
    </xf>
    <xf numFmtId="9" fontId="35" fillId="5" borderId="0" xfId="3" applyFont="1" applyFill="1" applyAlignment="1">
      <alignment vertical="center" wrapText="1"/>
    </xf>
    <xf numFmtId="0" fontId="8" fillId="2" borderId="6" xfId="0" applyFont="1" applyFill="1" applyBorder="1" applyAlignment="1">
      <alignment horizontal="left" vertical="center" wrapText="1"/>
    </xf>
    <xf numFmtId="0" fontId="8" fillId="2" borderId="0" xfId="0" applyFont="1" applyFill="1" applyAlignment="1">
      <alignment horizontal="left" wrapText="1" indent="2"/>
    </xf>
    <xf numFmtId="0" fontId="12" fillId="2" borderId="0" xfId="0" applyFont="1" applyFill="1" applyAlignment="1">
      <alignment horizontal="left" vertical="center" wrapText="1"/>
    </xf>
    <xf numFmtId="9" fontId="8" fillId="2" borderId="0" xfId="0" applyNumberFormat="1" applyFont="1" applyFill="1"/>
    <xf numFmtId="9" fontId="82" fillId="24" borderId="6" xfId="3" applyFont="1" applyFill="1" applyBorder="1" applyAlignment="1">
      <alignment vertical="center" wrapText="1"/>
    </xf>
    <xf numFmtId="0" fontId="8" fillId="0" borderId="0" xfId="0" applyFont="1" applyAlignment="1">
      <alignment horizontal="right" wrapText="1"/>
    </xf>
    <xf numFmtId="0" fontId="10" fillId="0" borderId="6" xfId="0" applyFont="1" applyBorder="1" applyAlignment="1">
      <alignment vertical="center" wrapText="1"/>
    </xf>
    <xf numFmtId="0" fontId="14" fillId="0" borderId="6" xfId="0" applyFont="1" applyBorder="1" applyAlignment="1">
      <alignment vertical="center" wrapText="1"/>
    </xf>
    <xf numFmtId="166" fontId="23" fillId="27" borderId="6" xfId="2" applyNumberFormat="1" applyFont="1" applyFill="1" applyBorder="1" applyAlignment="1">
      <alignment horizontal="center" vertical="center" wrapText="1"/>
    </xf>
    <xf numFmtId="166" fontId="10" fillId="27" borderId="6" xfId="2" applyNumberFormat="1" applyFont="1" applyFill="1" applyBorder="1" applyAlignment="1">
      <alignment horizontal="center" vertical="center" wrapText="1"/>
    </xf>
    <xf numFmtId="166" fontId="8" fillId="27" borderId="7" xfId="2" applyNumberFormat="1" applyFont="1" applyFill="1" applyBorder="1" applyAlignment="1">
      <alignment horizontal="right" vertical="center"/>
    </xf>
    <xf numFmtId="168" fontId="8" fillId="2" borderId="6" xfId="2" applyNumberFormat="1" applyFont="1" applyFill="1" applyBorder="1" applyAlignment="1">
      <alignment horizontal="center" vertical="center" wrapText="1"/>
    </xf>
    <xf numFmtId="9" fontId="6" fillId="2" borderId="0" xfId="3" applyFont="1" applyFill="1" applyAlignment="1">
      <alignment wrapText="1"/>
    </xf>
    <xf numFmtId="166" fontId="7" fillId="18" borderId="7" xfId="2" applyNumberFormat="1" applyFont="1" applyFill="1" applyBorder="1" applyAlignment="1">
      <alignment horizontal="center" vertical="center" wrapText="1"/>
    </xf>
    <xf numFmtId="166" fontId="10" fillId="18" borderId="7" xfId="2" applyNumberFormat="1" applyFont="1" applyFill="1" applyBorder="1" applyAlignment="1">
      <alignment horizontal="center" vertical="center" wrapText="1"/>
    </xf>
    <xf numFmtId="3" fontId="21" fillId="2" borderId="7" xfId="0" applyNumberFormat="1" applyFont="1" applyFill="1" applyBorder="1" applyAlignment="1">
      <alignment horizontal="right" vertical="center" wrapText="1"/>
    </xf>
    <xf numFmtId="166" fontId="21" fillId="2" borderId="7" xfId="0" applyNumberFormat="1" applyFont="1" applyFill="1" applyBorder="1" applyAlignment="1">
      <alignment horizontal="right" vertical="center" wrapText="1"/>
    </xf>
    <xf numFmtId="0" fontId="38" fillId="0" borderId="0" xfId="0" applyFont="1" applyAlignment="1">
      <alignment vertical="center" wrapText="1"/>
    </xf>
    <xf numFmtId="0" fontId="23" fillId="0" borderId="0" xfId="0" applyFont="1" applyAlignment="1">
      <alignment vertical="center" wrapText="1"/>
    </xf>
    <xf numFmtId="166" fontId="23" fillId="3" borderId="7" xfId="2" applyNumberFormat="1" applyFont="1" applyFill="1" applyBorder="1" applyAlignment="1">
      <alignment horizontal="right" vertical="center"/>
    </xf>
    <xf numFmtId="166" fontId="7" fillId="27" borderId="7" xfId="2" applyNumberFormat="1" applyFont="1" applyFill="1" applyBorder="1" applyAlignment="1">
      <alignment horizontal="center" vertical="center" wrapText="1"/>
    </xf>
    <xf numFmtId="164" fontId="7" fillId="27" borderId="7" xfId="2" applyNumberFormat="1" applyFont="1" applyFill="1" applyBorder="1" applyAlignment="1">
      <alignment horizontal="right" vertical="center" wrapText="1"/>
    </xf>
    <xf numFmtId="0" fontId="58" fillId="26" borderId="13" xfId="0" applyFont="1" applyFill="1" applyBorder="1" applyAlignment="1">
      <alignment vertical="center"/>
    </xf>
    <xf numFmtId="0" fontId="93" fillId="0" borderId="13" xfId="0" applyFont="1" applyBorder="1" applyAlignment="1">
      <alignment vertical="center"/>
    </xf>
    <xf numFmtId="0" fontId="93" fillId="0" borderId="13" xfId="0" applyFont="1" applyBorder="1" applyAlignment="1">
      <alignment horizontal="center" vertical="center" wrapText="1"/>
    </xf>
    <xf numFmtId="9" fontId="94" fillId="0" borderId="13" xfId="3" applyFont="1" applyBorder="1" applyAlignment="1">
      <alignment vertical="center"/>
    </xf>
    <xf numFmtId="166" fontId="6" fillId="0" borderId="13" xfId="2" applyNumberFormat="1" applyFont="1" applyBorder="1" applyAlignment="1">
      <alignment vertical="center"/>
    </xf>
    <xf numFmtId="9" fontId="6" fillId="0" borderId="13" xfId="3" applyFont="1" applyBorder="1" applyAlignment="1">
      <alignment vertical="center"/>
    </xf>
    <xf numFmtId="0" fontId="6" fillId="0" borderId="13" xfId="0" applyFont="1" applyBorder="1" applyAlignment="1">
      <alignment vertical="center"/>
    </xf>
    <xf numFmtId="9" fontId="6" fillId="0" borderId="13" xfId="3" applyFont="1" applyBorder="1" applyAlignment="1">
      <alignment horizontal="center" vertical="center"/>
    </xf>
    <xf numFmtId="9" fontId="6" fillId="0" borderId="13" xfId="3" applyFont="1" applyBorder="1" applyAlignment="1">
      <alignment horizontal="right" vertical="center"/>
    </xf>
    <xf numFmtId="0" fontId="6" fillId="2" borderId="0" xfId="0" applyFont="1" applyFill="1" applyAlignment="1">
      <alignment horizontal="center"/>
    </xf>
    <xf numFmtId="166" fontId="21" fillId="2" borderId="0" xfId="0" applyNumberFormat="1" applyFont="1" applyFill="1" applyAlignment="1">
      <alignment horizontal="center"/>
    </xf>
    <xf numFmtId="0" fontId="6" fillId="3" borderId="7" xfId="0" applyFont="1" applyFill="1" applyBorder="1" applyAlignment="1">
      <alignment vertical="center"/>
    </xf>
    <xf numFmtId="0" fontId="6" fillId="2" borderId="13" xfId="0" applyFont="1" applyFill="1" applyBorder="1" applyAlignment="1">
      <alignment vertical="center" wrapText="1"/>
    </xf>
    <xf numFmtId="0" fontId="6" fillId="2" borderId="13" xfId="0" applyFont="1" applyFill="1" applyBorder="1" applyAlignment="1">
      <alignment vertical="center"/>
    </xf>
    <xf numFmtId="9" fontId="6" fillId="2" borderId="13" xfId="3" applyFont="1" applyFill="1" applyBorder="1" applyAlignment="1">
      <alignment vertical="center" wrapText="1"/>
    </xf>
    <xf numFmtId="0" fontId="10" fillId="21" borderId="13" xfId="0" applyFont="1" applyFill="1" applyBorder="1" applyAlignment="1">
      <alignment horizontal="left" vertical="center"/>
    </xf>
    <xf numFmtId="0" fontId="12" fillId="21" borderId="13" xfId="0" applyFont="1" applyFill="1" applyBorder="1" applyAlignment="1">
      <alignment vertical="center" wrapText="1"/>
    </xf>
    <xf numFmtId="164" fontId="8" fillId="2" borderId="0" xfId="0" applyNumberFormat="1" applyFont="1" applyFill="1"/>
    <xf numFmtId="9" fontId="8" fillId="2" borderId="0" xfId="3" applyFont="1" applyFill="1"/>
    <xf numFmtId="164" fontId="21" fillId="25" borderId="7" xfId="3" applyNumberFormat="1" applyFont="1" applyFill="1" applyBorder="1" applyAlignment="1">
      <alignment vertical="center"/>
    </xf>
    <xf numFmtId="164" fontId="49" fillId="5" borderId="0" xfId="3" applyNumberFormat="1" applyFont="1" applyFill="1" applyAlignment="1">
      <alignment horizontal="right" vertical="center"/>
    </xf>
    <xf numFmtId="0" fontId="8" fillId="28" borderId="0" xfId="0" applyFont="1" applyFill="1" applyAlignment="1">
      <alignment vertical="center"/>
    </xf>
    <xf numFmtId="0" fontId="10" fillId="28" borderId="0" xfId="2" applyNumberFormat="1" applyFont="1" applyFill="1" applyAlignment="1">
      <alignment horizontal="right" vertical="center"/>
    </xf>
    <xf numFmtId="0" fontId="10" fillId="28" borderId="0" xfId="0" applyFont="1" applyFill="1" applyAlignment="1">
      <alignment horizontal="right" vertical="center"/>
    </xf>
    <xf numFmtId="166" fontId="8" fillId="28" borderId="0" xfId="0" applyNumberFormat="1" applyFont="1" applyFill="1" applyAlignment="1">
      <alignment vertical="center"/>
    </xf>
    <xf numFmtId="166" fontId="21" fillId="4" borderId="7" xfId="2" applyNumberFormat="1" applyFont="1" applyFill="1" applyBorder="1" applyAlignment="1">
      <alignment vertical="center"/>
    </xf>
    <xf numFmtId="164" fontId="8" fillId="25" borderId="7" xfId="0" applyNumberFormat="1" applyFont="1" applyFill="1" applyBorder="1" applyAlignment="1">
      <alignment vertical="center"/>
    </xf>
    <xf numFmtId="9" fontId="10" fillId="0" borderId="7" xfId="0" applyNumberFormat="1" applyFont="1" applyBorder="1" applyAlignment="1">
      <alignment vertical="center"/>
    </xf>
    <xf numFmtId="9" fontId="10" fillId="0" borderId="7" xfId="3" applyFont="1" applyFill="1" applyBorder="1" applyAlignment="1">
      <alignment vertical="center"/>
    </xf>
    <xf numFmtId="3" fontId="30" fillId="5" borderId="0" xfId="0" applyNumberFormat="1" applyFont="1" applyFill="1"/>
    <xf numFmtId="0" fontId="46" fillId="5" borderId="13" xfId="0" applyFont="1" applyFill="1" applyBorder="1" applyAlignment="1">
      <alignment horizontal="left" vertical="center" wrapText="1"/>
    </xf>
    <xf numFmtId="0" fontId="52" fillId="22" borderId="13" xfId="0" applyFont="1" applyFill="1" applyBorder="1" applyAlignment="1">
      <alignment horizontal="center" vertical="center" wrapText="1"/>
    </xf>
    <xf numFmtId="0" fontId="52" fillId="22" borderId="13" xfId="0" applyFont="1" applyFill="1" applyBorder="1" applyAlignment="1">
      <alignment horizontal="right" vertical="center" wrapText="1"/>
    </xf>
    <xf numFmtId="0" fontId="81" fillId="22" borderId="13" xfId="0" applyFont="1" applyFill="1" applyBorder="1" applyAlignment="1">
      <alignment horizontal="right" vertical="center"/>
    </xf>
    <xf numFmtId="0" fontId="22" fillId="0" borderId="13" xfId="0" applyFont="1" applyBorder="1" applyAlignment="1">
      <alignment horizontal="left" vertical="center" wrapText="1"/>
    </xf>
    <xf numFmtId="0" fontId="22" fillId="0" borderId="13" xfId="0" applyFont="1" applyBorder="1" applyAlignment="1">
      <alignment vertical="center" wrapText="1"/>
    </xf>
    <xf numFmtId="3" fontId="29" fillId="4" borderId="13" xfId="0" applyNumberFormat="1" applyFont="1" applyFill="1" applyBorder="1" applyAlignment="1">
      <alignment horizontal="right" vertical="center" wrapText="1"/>
    </xf>
    <xf numFmtId="3" fontId="22" fillId="2" borderId="13" xfId="0" applyNumberFormat="1" applyFont="1" applyFill="1" applyBorder="1" applyAlignment="1">
      <alignment horizontal="right" vertical="center" wrapText="1"/>
    </xf>
    <xf numFmtId="0" fontId="29" fillId="0" borderId="13" xfId="0" applyFont="1" applyBorder="1" applyAlignment="1">
      <alignment vertical="center" wrapText="1"/>
    </xf>
    <xf numFmtId="3" fontId="29" fillId="2" borderId="13" xfId="0" applyNumberFormat="1" applyFont="1" applyFill="1" applyBorder="1" applyAlignment="1">
      <alignment horizontal="right" vertical="center" wrapText="1"/>
    </xf>
    <xf numFmtId="166" fontId="8" fillId="2" borderId="0" xfId="2" applyNumberFormat="1" applyFont="1" applyFill="1" applyBorder="1" applyAlignment="1">
      <alignment horizontal="right"/>
    </xf>
    <xf numFmtId="166" fontId="21" fillId="2" borderId="0" xfId="2" applyNumberFormat="1" applyFont="1" applyFill="1" applyBorder="1" applyAlignment="1">
      <alignment horizontal="right"/>
    </xf>
    <xf numFmtId="166" fontId="10" fillId="0" borderId="13" xfId="2" applyNumberFormat="1" applyFont="1" applyFill="1" applyBorder="1" applyAlignment="1">
      <alignment horizontal="right" vertical="center"/>
    </xf>
    <xf numFmtId="0" fontId="10" fillId="0" borderId="13" xfId="0" applyFont="1" applyBorder="1" applyAlignment="1">
      <alignment vertical="center" wrapText="1"/>
    </xf>
    <xf numFmtId="0" fontId="10" fillId="0" borderId="13" xfId="0" applyFont="1" applyBorder="1" applyAlignment="1">
      <alignment vertical="center"/>
    </xf>
    <xf numFmtId="170" fontId="6" fillId="3" borderId="7" xfId="0" applyNumberFormat="1" applyFont="1" applyFill="1" applyBorder="1" applyAlignment="1">
      <alignment vertical="center"/>
    </xf>
    <xf numFmtId="9" fontId="23" fillId="3" borderId="7" xfId="0" applyNumberFormat="1" applyFont="1" applyFill="1" applyBorder="1" applyAlignment="1">
      <alignment vertical="center"/>
    </xf>
    <xf numFmtId="9" fontId="23" fillId="3" borderId="7" xfId="3" applyFont="1" applyFill="1" applyBorder="1" applyAlignment="1">
      <alignment vertical="center"/>
    </xf>
    <xf numFmtId="164" fontId="90" fillId="24" borderId="6" xfId="3" applyNumberFormat="1" applyFont="1" applyFill="1" applyBorder="1" applyAlignment="1">
      <alignment vertical="center" wrapText="1"/>
    </xf>
    <xf numFmtId="164" fontId="82" fillId="24" borderId="6" xfId="3" applyNumberFormat="1" applyFont="1" applyFill="1" applyBorder="1" applyAlignment="1">
      <alignment vertical="center" wrapText="1"/>
    </xf>
    <xf numFmtId="3" fontId="6" fillId="2" borderId="13" xfId="0" applyNumberFormat="1" applyFont="1" applyFill="1" applyBorder="1" applyAlignment="1">
      <alignment horizontal="right" vertical="center" wrapText="1"/>
    </xf>
    <xf numFmtId="166" fontId="96" fillId="7" borderId="7" xfId="2" applyNumberFormat="1" applyFont="1" applyFill="1" applyBorder="1" applyAlignment="1">
      <alignment horizontal="right" vertical="center"/>
    </xf>
    <xf numFmtId="166" fontId="8" fillId="0" borderId="14" xfId="2" applyNumberFormat="1" applyFont="1" applyBorder="1" applyAlignment="1">
      <alignment horizontal="center" vertical="center" wrapText="1"/>
    </xf>
    <xf numFmtId="9" fontId="82" fillId="24" borderId="14" xfId="3" applyFont="1" applyFill="1" applyBorder="1" applyAlignment="1">
      <alignment vertical="center" wrapText="1"/>
    </xf>
    <xf numFmtId="9" fontId="82" fillId="24" borderId="15" xfId="3" applyFont="1" applyFill="1" applyBorder="1" applyAlignment="1">
      <alignment vertical="center" wrapText="1"/>
    </xf>
    <xf numFmtId="0" fontId="10" fillId="0" borderId="16" xfId="0" applyFont="1" applyBorder="1" applyAlignment="1">
      <alignment vertical="center"/>
    </xf>
    <xf numFmtId="0" fontId="64" fillId="0" borderId="16" xfId="0" applyFont="1" applyBorder="1" applyAlignment="1">
      <alignment vertical="center" wrapText="1"/>
    </xf>
    <xf numFmtId="0" fontId="8" fillId="2" borderId="16" xfId="0" applyFont="1" applyFill="1" applyBorder="1"/>
    <xf numFmtId="0" fontId="8" fillId="2" borderId="16" xfId="0" applyFont="1" applyFill="1" applyBorder="1" applyAlignment="1">
      <alignment horizontal="left" indent="2"/>
    </xf>
    <xf numFmtId="166" fontId="10" fillId="0" borderId="16" xfId="2" applyNumberFormat="1" applyFont="1" applyBorder="1" applyAlignment="1">
      <alignment horizontal="center" vertical="center" wrapText="1"/>
    </xf>
    <xf numFmtId="9" fontId="82" fillId="24" borderId="16" xfId="3" applyFont="1" applyFill="1" applyBorder="1" applyAlignment="1">
      <alignment vertical="center" wrapText="1"/>
    </xf>
    <xf numFmtId="0" fontId="10" fillId="2" borderId="16" xfId="0" applyFont="1" applyFill="1" applyBorder="1" applyAlignment="1">
      <alignment horizontal="left" wrapText="1" indent="2"/>
    </xf>
    <xf numFmtId="0" fontId="21" fillId="2" borderId="14" xfId="0" applyFont="1" applyFill="1" applyBorder="1" applyAlignment="1">
      <alignment horizontal="left" wrapText="1" indent="2"/>
    </xf>
    <xf numFmtId="0" fontId="21" fillId="2" borderId="7" xfId="0" applyFont="1" applyFill="1" applyBorder="1" applyAlignment="1">
      <alignment horizontal="left" wrapText="1" indent="2"/>
    </xf>
    <xf numFmtId="166" fontId="7" fillId="0" borderId="15" xfId="2" applyNumberFormat="1" applyFont="1" applyBorder="1" applyAlignment="1">
      <alignment horizontal="center" vertical="center" wrapText="1"/>
    </xf>
    <xf numFmtId="0" fontId="7" fillId="0" borderId="15" xfId="0" applyFont="1" applyBorder="1" applyAlignment="1">
      <alignment vertical="center" wrapText="1"/>
    </xf>
    <xf numFmtId="0" fontId="12" fillId="0" borderId="15" xfId="0" applyFont="1" applyBorder="1" applyAlignment="1">
      <alignment vertical="center" wrapText="1"/>
    </xf>
    <xf numFmtId="0" fontId="8" fillId="0" borderId="16" xfId="0" applyFont="1" applyBorder="1" applyAlignment="1">
      <alignment vertical="center" wrapText="1"/>
    </xf>
    <xf numFmtId="0" fontId="13" fillId="0" borderId="16" xfId="0" applyFont="1" applyBorder="1" applyAlignment="1">
      <alignment vertical="center" wrapText="1"/>
    </xf>
    <xf numFmtId="166" fontId="7" fillId="0" borderId="16" xfId="2" applyNumberFormat="1" applyFont="1" applyBorder="1" applyAlignment="1">
      <alignment horizontal="center" vertical="center" wrapText="1"/>
    </xf>
    <xf numFmtId="166" fontId="8" fillId="2" borderId="16" xfId="2" applyNumberFormat="1" applyFont="1" applyFill="1" applyBorder="1" applyAlignment="1">
      <alignment horizontal="center" vertical="center"/>
    </xf>
    <xf numFmtId="0" fontId="8" fillId="2" borderId="16" xfId="0" applyFont="1" applyFill="1" applyBorder="1" applyAlignment="1">
      <alignment wrapText="1"/>
    </xf>
    <xf numFmtId="0" fontId="97" fillId="26" borderId="8" xfId="0" applyFont="1" applyFill="1" applyBorder="1" applyAlignment="1">
      <alignment horizontal="center" vertical="center" wrapText="1"/>
    </xf>
    <xf numFmtId="166" fontId="8" fillId="2" borderId="16" xfId="0" applyNumberFormat="1" applyFont="1" applyFill="1" applyBorder="1" applyAlignment="1">
      <alignment wrapText="1"/>
    </xf>
    <xf numFmtId="9" fontId="7" fillId="2" borderId="16" xfId="3" applyFont="1" applyFill="1" applyBorder="1" applyAlignment="1">
      <alignment wrapText="1"/>
    </xf>
    <xf numFmtId="166" fontId="22" fillId="0" borderId="16" xfId="2" applyNumberFormat="1" applyFont="1" applyBorder="1" applyAlignment="1">
      <alignment horizontal="center" vertical="center" wrapText="1"/>
    </xf>
    <xf numFmtId="166" fontId="22" fillId="0" borderId="16" xfId="2" applyNumberFormat="1" applyFont="1" applyBorder="1" applyAlignment="1">
      <alignment horizontal="center" wrapText="1"/>
    </xf>
    <xf numFmtId="166" fontId="22" fillId="0" borderId="16" xfId="2" applyNumberFormat="1" applyFont="1" applyBorder="1" applyAlignment="1">
      <alignment horizontal="center" vertical="top" wrapText="1"/>
    </xf>
    <xf numFmtId="0" fontId="25" fillId="26" borderId="21" xfId="0" applyFont="1" applyFill="1" applyBorder="1" applyAlignment="1">
      <alignment horizontal="center" vertical="center"/>
    </xf>
    <xf numFmtId="0" fontId="7" fillId="21" borderId="22" xfId="0" applyFont="1" applyFill="1" applyBorder="1" applyAlignment="1">
      <alignment horizontal="center" vertical="center" wrapText="1"/>
    </xf>
    <xf numFmtId="9" fontId="22" fillId="0" borderId="16" xfId="3" applyFont="1" applyBorder="1" applyAlignment="1">
      <alignment horizontal="center" vertical="center" wrapText="1"/>
    </xf>
    <xf numFmtId="0" fontId="31" fillId="2" borderId="0" xfId="0" applyFont="1" applyFill="1" applyAlignment="1">
      <alignment horizontal="center"/>
    </xf>
    <xf numFmtId="0" fontId="6" fillId="19" borderId="13" xfId="0" applyFont="1" applyFill="1" applyBorder="1" applyAlignment="1">
      <alignment vertical="center" wrapText="1"/>
    </xf>
    <xf numFmtId="166" fontId="6" fillId="19" borderId="13" xfId="2" applyNumberFormat="1" applyFont="1" applyFill="1" applyBorder="1" applyAlignment="1">
      <alignment vertical="center"/>
    </xf>
    <xf numFmtId="9" fontId="6" fillId="19" borderId="13" xfId="3" applyFont="1" applyFill="1" applyBorder="1" applyAlignment="1">
      <alignment vertical="center"/>
    </xf>
    <xf numFmtId="166" fontId="6" fillId="19" borderId="13" xfId="2" applyNumberFormat="1" applyFont="1" applyFill="1" applyBorder="1" applyAlignment="1">
      <alignment vertical="center" wrapText="1"/>
    </xf>
    <xf numFmtId="9" fontId="6" fillId="19" borderId="13" xfId="3" applyFont="1" applyFill="1" applyBorder="1" applyAlignment="1">
      <alignment vertical="center" wrapText="1"/>
    </xf>
    <xf numFmtId="0" fontId="6" fillId="19" borderId="13" xfId="0" applyFont="1" applyFill="1" applyBorder="1" applyAlignment="1">
      <alignment vertical="center"/>
    </xf>
    <xf numFmtId="9" fontId="6" fillId="19" borderId="16" xfId="3" applyFont="1" applyFill="1" applyBorder="1" applyAlignment="1">
      <alignment horizontal="center" vertical="center"/>
    </xf>
    <xf numFmtId="9" fontId="6" fillId="19" borderId="16" xfId="3" applyFont="1" applyFill="1" applyBorder="1" applyAlignment="1">
      <alignment horizontal="center" wrapText="1"/>
    </xf>
    <xf numFmtId="166" fontId="6" fillId="19" borderId="16" xfId="2" applyNumberFormat="1" applyFont="1" applyFill="1" applyBorder="1" applyAlignment="1">
      <alignment horizontal="center" wrapText="1"/>
    </xf>
    <xf numFmtId="0" fontId="37" fillId="5" borderId="0" xfId="0" applyFont="1" applyFill="1" applyAlignment="1">
      <alignment vertical="center" wrapText="1"/>
    </xf>
    <xf numFmtId="0" fontId="80" fillId="19" borderId="8" xfId="0" applyFont="1" applyFill="1" applyBorder="1" applyAlignment="1">
      <alignment horizontal="left" vertical="center" wrapText="1"/>
    </xf>
    <xf numFmtId="0" fontId="13" fillId="2" borderId="0" xfId="0" applyFont="1" applyFill="1" applyAlignment="1">
      <alignment vertical="center"/>
    </xf>
    <xf numFmtId="0" fontId="103" fillId="2" borderId="0" xfId="0" applyFont="1" applyFill="1" applyAlignment="1">
      <alignment horizontal="left" vertical="center"/>
    </xf>
    <xf numFmtId="0" fontId="13" fillId="19" borderId="0" xfId="0" applyFont="1" applyFill="1" applyAlignment="1">
      <alignment vertical="center"/>
    </xf>
    <xf numFmtId="0" fontId="13" fillId="19" borderId="0" xfId="0" applyFont="1" applyFill="1" applyAlignment="1">
      <alignment horizontal="left" vertical="center"/>
    </xf>
    <xf numFmtId="0" fontId="12" fillId="19" borderId="0" xfId="0" applyFont="1" applyFill="1" applyAlignment="1">
      <alignment vertical="center"/>
    </xf>
    <xf numFmtId="0" fontId="102" fillId="5" borderId="0" xfId="0" applyFont="1" applyFill="1" applyAlignment="1">
      <alignment horizontal="left"/>
    </xf>
    <xf numFmtId="3" fontId="13" fillId="2" borderId="0" xfId="0" applyNumberFormat="1" applyFont="1" applyFill="1"/>
    <xf numFmtId="3" fontId="8" fillId="19" borderId="13" xfId="0" applyNumberFormat="1" applyFont="1" applyFill="1" applyBorder="1" applyAlignment="1">
      <alignment vertical="center"/>
    </xf>
    <xf numFmtId="164" fontId="8" fillId="19" borderId="13" xfId="3" applyNumberFormat="1" applyFont="1" applyFill="1" applyBorder="1" applyAlignment="1">
      <alignment vertical="center"/>
    </xf>
    <xf numFmtId="0" fontId="35" fillId="30" borderId="13" xfId="0" applyFont="1" applyFill="1" applyBorder="1" applyAlignment="1">
      <alignment vertical="center" wrapText="1"/>
    </xf>
    <xf numFmtId="9" fontId="8" fillId="19" borderId="13" xfId="0" applyNumberFormat="1" applyFont="1" applyFill="1" applyBorder="1" applyAlignment="1">
      <alignment vertical="center"/>
    </xf>
    <xf numFmtId="0" fontId="25" fillId="19" borderId="8" xfId="0" applyFont="1" applyFill="1" applyBorder="1" applyAlignment="1">
      <alignment horizontal="center" vertical="center"/>
    </xf>
    <xf numFmtId="0" fontId="10" fillId="19" borderId="13" xfId="0" applyFont="1" applyFill="1" applyBorder="1" applyAlignment="1">
      <alignment horizontal="left" vertical="center"/>
    </xf>
    <xf numFmtId="0" fontId="12" fillId="19" borderId="13" xfId="0" applyFont="1" applyFill="1" applyBorder="1" applyAlignment="1">
      <alignment vertical="center" wrapText="1"/>
    </xf>
    <xf numFmtId="0" fontId="7" fillId="19" borderId="13" xfId="0" applyFont="1" applyFill="1" applyBorder="1" applyAlignment="1">
      <alignment horizontal="center" vertical="center" wrapText="1"/>
    </xf>
    <xf numFmtId="0" fontId="6" fillId="19" borderId="13" xfId="0" applyFont="1" applyFill="1" applyBorder="1" applyAlignment="1">
      <alignment horizontal="left" vertical="center" wrapText="1"/>
    </xf>
    <xf numFmtId="0" fontId="11" fillId="19" borderId="13" xfId="0" applyFont="1" applyFill="1" applyBorder="1" applyAlignment="1">
      <alignment horizontal="center" vertical="center" wrapText="1"/>
    </xf>
    <xf numFmtId="166" fontId="6" fillId="19" borderId="13" xfId="2" applyNumberFormat="1" applyFont="1" applyFill="1" applyBorder="1" applyAlignment="1">
      <alignment horizontal="center" vertical="center" wrapText="1"/>
    </xf>
    <xf numFmtId="0" fontId="12" fillId="19" borderId="13" xfId="0" applyFont="1" applyFill="1" applyBorder="1" applyAlignment="1">
      <alignment horizontal="left" vertical="center" wrapText="1"/>
    </xf>
    <xf numFmtId="1" fontId="8" fillId="2" borderId="0" xfId="0" applyNumberFormat="1" applyFont="1" applyFill="1" applyAlignment="1">
      <alignment wrapText="1"/>
    </xf>
    <xf numFmtId="164" fontId="8" fillId="2" borderId="0" xfId="3" applyNumberFormat="1" applyFont="1" applyFill="1" applyAlignment="1">
      <alignment wrapText="1"/>
    </xf>
    <xf numFmtId="3" fontId="52" fillId="21" borderId="7" xfId="0" applyNumberFormat="1" applyFont="1" applyFill="1" applyBorder="1" applyAlignment="1">
      <alignment horizontal="right" vertical="center" wrapText="1"/>
    </xf>
    <xf numFmtId="0" fontId="16" fillId="11" borderId="7" xfId="0" applyFont="1" applyFill="1" applyBorder="1" applyAlignment="1">
      <alignment vertical="center"/>
    </xf>
    <xf numFmtId="166" fontId="8" fillId="0" borderId="6" xfId="2" applyNumberFormat="1" applyFont="1" applyBorder="1" applyAlignment="1">
      <alignment horizontal="center" vertical="center" wrapText="1"/>
    </xf>
    <xf numFmtId="0" fontId="25" fillId="26" borderId="13" xfId="0" applyFont="1" applyFill="1" applyBorder="1" applyAlignment="1">
      <alignment horizontal="center" vertical="center"/>
    </xf>
    <xf numFmtId="166" fontId="8" fillId="0" borderId="7" xfId="2" applyNumberFormat="1" applyFont="1" applyBorder="1" applyAlignment="1">
      <alignment horizontal="center" vertical="center" wrapText="1"/>
    </xf>
    <xf numFmtId="0" fontId="13" fillId="2" borderId="7" xfId="0" applyFont="1" applyFill="1" applyBorder="1" applyAlignment="1">
      <alignment vertical="center" wrapText="1"/>
    </xf>
    <xf numFmtId="0" fontId="8" fillId="2" borderId="0" xfId="0" applyFont="1" applyFill="1" applyAlignment="1">
      <alignment horizontal="center" vertical="center" wrapText="1"/>
    </xf>
    <xf numFmtId="0" fontId="13" fillId="18" borderId="2" xfId="0" applyFont="1" applyFill="1" applyBorder="1" applyAlignment="1">
      <alignment vertical="center" wrapText="1"/>
    </xf>
    <xf numFmtId="166" fontId="6" fillId="19" borderId="16" xfId="2" applyNumberFormat="1" applyFont="1" applyFill="1" applyBorder="1" applyAlignment="1">
      <alignment horizontal="center" vertical="center"/>
    </xf>
    <xf numFmtId="0" fontId="58" fillId="26" borderId="7" xfId="0" applyFont="1" applyFill="1" applyBorder="1" applyAlignment="1">
      <alignment horizontal="left" vertical="center" wrapText="1"/>
    </xf>
    <xf numFmtId="0" fontId="58" fillId="26" borderId="8" xfId="0" applyFont="1" applyFill="1" applyBorder="1" applyAlignment="1">
      <alignment horizontal="left" vertical="center" wrapText="1"/>
    </xf>
    <xf numFmtId="0" fontId="25" fillId="26" borderId="7" xfId="0" applyFont="1" applyFill="1" applyBorder="1" applyAlignment="1">
      <alignment horizontal="center" vertical="center" wrapText="1"/>
    </xf>
    <xf numFmtId="0" fontId="25" fillId="26" borderId="8" xfId="0" applyFont="1" applyFill="1" applyBorder="1" applyAlignment="1">
      <alignment horizontal="center" vertical="center" wrapText="1"/>
    </xf>
    <xf numFmtId="0" fontId="81" fillId="2" borderId="0" xfId="0" applyFont="1" applyFill="1" applyAlignment="1">
      <alignment horizontal="left" vertical="center" wrapText="1"/>
    </xf>
    <xf numFmtId="1" fontId="45" fillId="2" borderId="0" xfId="0" applyNumberFormat="1" applyFont="1" applyFill="1" applyAlignment="1">
      <alignment horizontal="right" vertical="center"/>
    </xf>
    <xf numFmtId="0" fontId="13" fillId="2" borderId="0" xfId="0" applyFont="1" applyFill="1" applyAlignment="1">
      <alignment horizontal="center"/>
    </xf>
    <xf numFmtId="0" fontId="102" fillId="7" borderId="0" xfId="0" applyFont="1" applyFill="1" applyAlignment="1">
      <alignment horizontal="left"/>
    </xf>
    <xf numFmtId="0" fontId="102" fillId="30" borderId="0" xfId="0" applyFont="1" applyFill="1" applyAlignment="1">
      <alignment horizontal="left"/>
    </xf>
    <xf numFmtId="0" fontId="13" fillId="19" borderId="0" xfId="0" applyFont="1" applyFill="1"/>
    <xf numFmtId="3" fontId="105" fillId="19" borderId="0" xfId="0" applyNumberFormat="1" applyFont="1" applyFill="1"/>
    <xf numFmtId="3" fontId="105" fillId="19" borderId="0" xfId="0" applyNumberFormat="1" applyFont="1" applyFill="1" applyAlignment="1">
      <alignment vertical="center"/>
    </xf>
    <xf numFmtId="0" fontId="105" fillId="19" borderId="0" xfId="0" applyFont="1" applyFill="1"/>
    <xf numFmtId="0" fontId="105" fillId="19" borderId="0" xfId="0" applyFont="1" applyFill="1" applyAlignment="1">
      <alignment vertical="center"/>
    </xf>
    <xf numFmtId="9" fontId="105" fillId="19" borderId="0" xfId="3" applyFont="1" applyFill="1" applyBorder="1"/>
    <xf numFmtId="9" fontId="105" fillId="19" borderId="0" xfId="0" applyNumberFormat="1" applyFont="1" applyFill="1" applyAlignment="1">
      <alignment vertical="center"/>
    </xf>
    <xf numFmtId="166" fontId="105" fillId="19" borderId="0" xfId="2" applyNumberFormat="1" applyFont="1" applyFill="1" applyBorder="1"/>
    <xf numFmtId="9" fontId="105" fillId="19" borderId="0" xfId="0" applyNumberFormat="1" applyFont="1" applyFill="1"/>
    <xf numFmtId="1" fontId="105" fillId="19" borderId="0" xfId="0" applyNumberFormat="1" applyFont="1" applyFill="1"/>
    <xf numFmtId="2" fontId="105" fillId="19" borderId="0" xfId="0" applyNumberFormat="1" applyFont="1" applyFill="1"/>
    <xf numFmtId="0" fontId="102" fillId="5" borderId="0" xfId="0" applyFont="1" applyFill="1" applyAlignment="1">
      <alignment vertical="center"/>
    </xf>
    <xf numFmtId="0" fontId="112" fillId="2" borderId="0" xfId="0" applyFont="1" applyFill="1" applyAlignment="1">
      <alignment horizontal="right" vertical="center"/>
    </xf>
    <xf numFmtId="0" fontId="12" fillId="2" borderId="0" xfId="1" applyFont="1" applyFill="1" applyAlignment="1">
      <alignment horizontal="center" vertical="center"/>
    </xf>
    <xf numFmtId="166" fontId="13" fillId="2" borderId="0" xfId="0" applyNumberFormat="1" applyFont="1" applyFill="1"/>
    <xf numFmtId="43" fontId="13" fillId="2" borderId="0" xfId="0" applyNumberFormat="1" applyFont="1" applyFill="1"/>
    <xf numFmtId="0" fontId="13" fillId="0" borderId="7" xfId="0" applyFont="1" applyBorder="1" applyAlignment="1">
      <alignment vertical="center"/>
    </xf>
    <xf numFmtId="9" fontId="13" fillId="2" borderId="0" xfId="3" applyFont="1" applyFill="1"/>
    <xf numFmtId="0" fontId="66" fillId="2" borderId="0" xfId="0" applyFont="1" applyFill="1"/>
    <xf numFmtId="0" fontId="110" fillId="5" borderId="0" xfId="0" applyFont="1" applyFill="1"/>
    <xf numFmtId="49" fontId="13" fillId="0" borderId="0" xfId="0" applyNumberFormat="1" applyFont="1" applyAlignment="1">
      <alignment horizontal="center"/>
    </xf>
    <xf numFmtId="49" fontId="12" fillId="2" borderId="0" xfId="0" applyNumberFormat="1" applyFont="1" applyFill="1" applyAlignment="1">
      <alignment horizontal="center"/>
    </xf>
    <xf numFmtId="0" fontId="64" fillId="2" borderId="0" xfId="0" applyFont="1" applyFill="1" applyAlignment="1">
      <alignment horizontal="right" vertical="top" indent="2"/>
    </xf>
    <xf numFmtId="0" fontId="65" fillId="2" borderId="0" xfId="0" applyFont="1" applyFill="1" applyAlignment="1">
      <alignment horizontal="left" vertical="top"/>
    </xf>
    <xf numFmtId="0" fontId="64" fillId="2" borderId="0" xfId="0" applyFont="1" applyFill="1" applyAlignment="1">
      <alignment horizontal="right" indent="2"/>
    </xf>
    <xf numFmtId="0" fontId="12" fillId="2" borderId="0" xfId="0" applyFont="1" applyFill="1"/>
    <xf numFmtId="0" fontId="104" fillId="2" borderId="0" xfId="0" applyFont="1" applyFill="1" applyAlignment="1">
      <alignment horizontal="left" vertical="center"/>
    </xf>
    <xf numFmtId="0" fontId="114" fillId="2" borderId="0" xfId="0" applyFont="1" applyFill="1" applyAlignment="1">
      <alignment horizontal="left" vertical="center"/>
    </xf>
    <xf numFmtId="0" fontId="115" fillId="2" borderId="0" xfId="0" applyFont="1" applyFill="1"/>
    <xf numFmtId="0" fontId="13" fillId="2" borderId="0" xfId="0" applyFont="1" applyFill="1" applyAlignment="1">
      <alignment horizontal="left" indent="1"/>
    </xf>
    <xf numFmtId="0" fontId="22" fillId="30" borderId="7" xfId="0" applyFont="1" applyFill="1" applyBorder="1" applyAlignment="1">
      <alignment vertical="center" wrapText="1"/>
    </xf>
    <xf numFmtId="168" fontId="111" fillId="5" borderId="0" xfId="0" applyNumberFormat="1" applyFont="1" applyFill="1" applyAlignment="1">
      <alignment vertical="center"/>
    </xf>
    <xf numFmtId="10" fontId="21" fillId="2" borderId="0" xfId="3" applyNumberFormat="1" applyFont="1" applyFill="1" applyBorder="1" applyAlignment="1">
      <alignment horizontal="right" vertical="center"/>
    </xf>
    <xf numFmtId="172" fontId="13" fillId="2" borderId="0" xfId="0" applyNumberFormat="1" applyFont="1" applyFill="1" applyAlignment="1">
      <alignment vertical="center"/>
    </xf>
    <xf numFmtId="0" fontId="8" fillId="0" borderId="0" xfId="0" applyFont="1" applyAlignment="1">
      <alignment vertical="center"/>
    </xf>
    <xf numFmtId="0" fontId="8" fillId="19" borderId="13" xfId="0" applyFont="1" applyFill="1" applyBorder="1"/>
    <xf numFmtId="3" fontId="8" fillId="19" borderId="13" xfId="0" applyNumberFormat="1" applyFont="1" applyFill="1" applyBorder="1"/>
    <xf numFmtId="171" fontId="13" fillId="0" borderId="0" xfId="0" applyNumberFormat="1" applyFont="1" applyAlignment="1">
      <alignment vertical="center"/>
    </xf>
    <xf numFmtId="0" fontId="13" fillId="0" borderId="0" xfId="0" applyFont="1" applyAlignment="1">
      <alignment vertical="center"/>
    </xf>
    <xf numFmtId="0" fontId="116" fillId="2" borderId="0" xfId="0" applyFont="1" applyFill="1" applyAlignment="1">
      <alignment vertical="center"/>
    </xf>
    <xf numFmtId="0" fontId="118" fillId="2" borderId="0" xfId="0" applyFont="1" applyFill="1" applyAlignment="1">
      <alignment horizontal="left" vertical="center"/>
    </xf>
    <xf numFmtId="0" fontId="105" fillId="2" borderId="0" xfId="0" applyFont="1" applyFill="1"/>
    <xf numFmtId="9" fontId="25" fillId="2" borderId="0" xfId="0" applyNumberFormat="1" applyFont="1" applyFill="1" applyAlignment="1">
      <alignment horizontal="center" vertical="center" wrapText="1"/>
    </xf>
    <xf numFmtId="0" fontId="25" fillId="2" borderId="0" xfId="0" applyFont="1" applyFill="1" applyAlignment="1">
      <alignment horizontal="center" vertical="center" wrapText="1"/>
    </xf>
    <xf numFmtId="0" fontId="6" fillId="2" borderId="0" xfId="0" applyFont="1" applyFill="1" applyAlignment="1">
      <alignment vertical="center"/>
    </xf>
    <xf numFmtId="0" fontId="12" fillId="0" borderId="32" xfId="0" applyFont="1" applyBorder="1" applyAlignment="1">
      <alignment vertical="center" wrapText="1"/>
    </xf>
    <xf numFmtId="0" fontId="119" fillId="2" borderId="0" xfId="0" applyFont="1" applyFill="1" applyAlignment="1">
      <alignment horizontal="center" vertical="center" wrapText="1"/>
    </xf>
    <xf numFmtId="0" fontId="73" fillId="2" borderId="0" xfId="0" applyFont="1" applyFill="1" applyAlignment="1">
      <alignment vertical="center"/>
    </xf>
    <xf numFmtId="0" fontId="8" fillId="19" borderId="0" xfId="0" applyFont="1" applyFill="1" applyAlignment="1">
      <alignment vertical="center"/>
    </xf>
    <xf numFmtId="0" fontId="6" fillId="19" borderId="0" xfId="0" applyFont="1" applyFill="1" applyAlignment="1">
      <alignment vertical="center"/>
    </xf>
    <xf numFmtId="0" fontId="11" fillId="2" borderId="0" xfId="0" applyFont="1" applyFill="1" applyAlignment="1">
      <alignment vertical="center"/>
    </xf>
    <xf numFmtId="0" fontId="13" fillId="2" borderId="32" xfId="0" applyFont="1" applyFill="1" applyBorder="1" applyAlignment="1">
      <alignment vertical="center"/>
    </xf>
    <xf numFmtId="0" fontId="12" fillId="2" borderId="32" xfId="0" applyFont="1" applyFill="1" applyBorder="1" applyAlignment="1">
      <alignment vertical="center" wrapText="1"/>
    </xf>
    <xf numFmtId="0" fontId="11" fillId="19" borderId="32" xfId="0" applyFont="1" applyFill="1" applyBorder="1" applyAlignment="1">
      <alignment vertical="center" wrapText="1"/>
    </xf>
    <xf numFmtId="0" fontId="13" fillId="19" borderId="32" xfId="0" applyFont="1" applyFill="1" applyBorder="1" applyAlignment="1">
      <alignment vertical="center" wrapText="1"/>
    </xf>
    <xf numFmtId="0" fontId="13" fillId="0" borderId="32" xfId="0" applyFont="1" applyBorder="1" applyAlignment="1">
      <alignment vertical="center" wrapText="1"/>
    </xf>
    <xf numFmtId="0" fontId="12" fillId="19" borderId="32" xfId="0" applyFont="1" applyFill="1" applyBorder="1" applyAlignment="1">
      <alignment vertical="center" wrapText="1"/>
    </xf>
    <xf numFmtId="0" fontId="12" fillId="19" borderId="32" xfId="0" applyFont="1" applyFill="1" applyBorder="1" applyAlignment="1">
      <alignment vertical="center"/>
    </xf>
    <xf numFmtId="0" fontId="12" fillId="0" borderId="32" xfId="0" applyFont="1" applyBorder="1" applyAlignment="1">
      <alignment vertical="center"/>
    </xf>
    <xf numFmtId="0" fontId="65" fillId="0" borderId="32" xfId="0" applyFont="1" applyBorder="1" applyAlignment="1">
      <alignment vertical="center" wrapText="1"/>
    </xf>
    <xf numFmtId="0" fontId="13" fillId="0" borderId="32" xfId="0" applyFont="1" applyBorder="1" applyAlignment="1">
      <alignment vertical="center"/>
    </xf>
    <xf numFmtId="0" fontId="13" fillId="0" borderId="32" xfId="0" applyFont="1" applyBorder="1" applyAlignment="1">
      <alignment horizontal="left" vertical="center" wrapText="1"/>
    </xf>
    <xf numFmtId="0" fontId="12" fillId="0" borderId="32" xfId="0" applyFont="1" applyBorder="1" applyAlignment="1">
      <alignment horizontal="left" vertical="center" wrapText="1"/>
    </xf>
    <xf numFmtId="0" fontId="123" fillId="0" borderId="32" xfId="0" applyFont="1" applyBorder="1" applyAlignment="1">
      <alignment horizontal="left" vertical="center" wrapText="1"/>
    </xf>
    <xf numFmtId="0" fontId="12" fillId="3" borderId="32" xfId="0" applyFont="1" applyFill="1" applyBorder="1" applyAlignment="1">
      <alignment vertical="center"/>
    </xf>
    <xf numFmtId="0" fontId="12" fillId="29" borderId="32" xfId="0" applyFont="1" applyFill="1" applyBorder="1" applyAlignment="1">
      <alignment vertical="center"/>
    </xf>
    <xf numFmtId="0" fontId="12" fillId="29" borderId="32" xfId="0" applyFont="1" applyFill="1" applyBorder="1" applyAlignment="1">
      <alignment vertical="center" wrapText="1"/>
    </xf>
    <xf numFmtId="0" fontId="13" fillId="0" borderId="36" xfId="0" applyFont="1" applyBorder="1" applyAlignment="1">
      <alignment vertical="center" wrapText="1"/>
    </xf>
    <xf numFmtId="164" fontId="6" fillId="19" borderId="13" xfId="3" applyNumberFormat="1" applyFont="1" applyFill="1" applyBorder="1" applyAlignment="1">
      <alignment horizontal="right" vertical="center" wrapText="1"/>
    </xf>
    <xf numFmtId="166" fontId="6" fillId="19" borderId="13" xfId="2" applyNumberFormat="1" applyFont="1" applyFill="1" applyBorder="1" applyAlignment="1">
      <alignment horizontal="right" vertical="center" wrapText="1"/>
    </xf>
    <xf numFmtId="49" fontId="6" fillId="19" borderId="13" xfId="2" applyNumberFormat="1" applyFont="1" applyFill="1" applyBorder="1" applyAlignment="1">
      <alignment horizontal="right" vertical="center" wrapText="1"/>
    </xf>
    <xf numFmtId="0" fontId="7" fillId="19" borderId="8" xfId="0" applyFont="1" applyFill="1" applyBorder="1" applyAlignment="1">
      <alignment horizontal="center" vertical="center"/>
    </xf>
    <xf numFmtId="166" fontId="6" fillId="19" borderId="16" xfId="2" applyNumberFormat="1" applyFont="1" applyFill="1" applyBorder="1" applyAlignment="1">
      <alignment horizontal="center" vertical="center" wrapText="1"/>
    </xf>
    <xf numFmtId="164" fontId="6" fillId="19" borderId="7" xfId="3" applyNumberFormat="1" applyFont="1" applyFill="1" applyBorder="1" applyAlignment="1">
      <alignment horizontal="center" vertical="center"/>
    </xf>
    <xf numFmtId="0" fontId="7" fillId="19" borderId="13" xfId="0" applyFont="1" applyFill="1" applyBorder="1" applyAlignment="1">
      <alignment horizontal="left" vertical="center" wrapText="1"/>
    </xf>
    <xf numFmtId="0" fontId="93" fillId="19" borderId="13" xfId="0" applyFont="1" applyFill="1" applyBorder="1" applyAlignment="1">
      <alignment horizontal="center" vertical="center" wrapText="1"/>
    </xf>
    <xf numFmtId="0" fontId="93" fillId="19" borderId="13" xfId="0" applyFont="1" applyFill="1" applyBorder="1" applyAlignment="1">
      <alignment vertical="center"/>
    </xf>
    <xf numFmtId="166" fontId="6" fillId="19" borderId="13" xfId="2" applyNumberFormat="1" applyFont="1" applyFill="1" applyBorder="1" applyAlignment="1">
      <alignment horizontal="right" vertical="center"/>
    </xf>
    <xf numFmtId="166" fontId="8" fillId="2" borderId="0" xfId="2" applyNumberFormat="1" applyFont="1" applyFill="1" applyAlignment="1">
      <alignment horizontal="center" vertical="center" wrapText="1"/>
    </xf>
    <xf numFmtId="166" fontId="6" fillId="0" borderId="0" xfId="2" applyNumberFormat="1" applyFont="1" applyAlignment="1">
      <alignment wrapText="1"/>
    </xf>
    <xf numFmtId="166" fontId="6" fillId="2" borderId="0" xfId="2" applyNumberFormat="1" applyFont="1" applyFill="1" applyAlignment="1">
      <alignment horizontal="center" vertical="center" wrapText="1"/>
    </xf>
    <xf numFmtId="166" fontId="6" fillId="2" borderId="0" xfId="2" applyNumberFormat="1" applyFont="1" applyFill="1" applyAlignment="1">
      <alignment wrapText="1"/>
    </xf>
    <xf numFmtId="166" fontId="6" fillId="0" borderId="0" xfId="2" applyNumberFormat="1" applyFont="1" applyAlignment="1">
      <alignment horizontal="center" vertical="center" wrapText="1"/>
    </xf>
    <xf numFmtId="166" fontId="7" fillId="0" borderId="16" xfId="2" applyNumberFormat="1" applyFont="1" applyBorder="1" applyAlignment="1">
      <alignment horizontal="center" vertical="center"/>
    </xf>
    <xf numFmtId="9" fontId="8" fillId="0" borderId="7" xfId="3" applyFont="1" applyBorder="1"/>
    <xf numFmtId="0" fontId="8" fillId="0" borderId="7" xfId="0" applyFont="1" applyBorder="1"/>
    <xf numFmtId="0" fontId="8" fillId="3" borderId="0" xfId="0" applyFont="1" applyFill="1" applyAlignment="1">
      <alignment horizontal="left" vertical="center" wrapText="1"/>
    </xf>
    <xf numFmtId="0" fontId="126" fillId="0" borderId="0" xfId="0" applyFont="1" applyAlignment="1">
      <alignment vertical="center" wrapText="1"/>
    </xf>
    <xf numFmtId="166" fontId="116" fillId="2" borderId="0" xfId="2" applyNumberFormat="1" applyFont="1" applyFill="1" applyBorder="1" applyAlignment="1">
      <alignment horizontal="center" vertical="center"/>
    </xf>
    <xf numFmtId="166" fontId="117" fillId="2" borderId="0" xfId="2" applyNumberFormat="1" applyFont="1" applyFill="1" applyBorder="1" applyAlignment="1">
      <alignment horizontal="right" vertical="center"/>
    </xf>
    <xf numFmtId="166" fontId="7" fillId="2" borderId="0" xfId="2" applyNumberFormat="1" applyFont="1" applyFill="1" applyBorder="1" applyAlignment="1">
      <alignment horizontal="center" vertical="center" wrapText="1"/>
    </xf>
    <xf numFmtId="9" fontId="82" fillId="7" borderId="0" xfId="3" applyFont="1" applyFill="1" applyBorder="1" applyAlignment="1">
      <alignment vertical="center" wrapText="1"/>
    </xf>
    <xf numFmtId="166" fontId="10" fillId="2" borderId="0" xfId="2" applyNumberFormat="1" applyFont="1" applyFill="1" applyBorder="1" applyAlignment="1">
      <alignment horizontal="center" vertical="center" wrapText="1"/>
    </xf>
    <xf numFmtId="0" fontId="10" fillId="2" borderId="0" xfId="0" applyFont="1" applyFill="1" applyAlignment="1">
      <alignment vertical="center"/>
    </xf>
    <xf numFmtId="0" fontId="64" fillId="2" borderId="0" xfId="0" applyFont="1" applyFill="1" applyAlignment="1">
      <alignment vertical="center" wrapText="1"/>
    </xf>
    <xf numFmtId="168" fontId="8" fillId="2" borderId="0" xfId="2" applyNumberFormat="1" applyFont="1" applyFill="1" applyBorder="1" applyAlignment="1">
      <alignment horizontal="center" vertical="center" wrapText="1"/>
    </xf>
    <xf numFmtId="0" fontId="11" fillId="2" borderId="0" xfId="0" applyFont="1" applyFill="1"/>
    <xf numFmtId="0" fontId="22" fillId="2" borderId="0" xfId="0" applyFont="1" applyFill="1" applyAlignment="1">
      <alignment vertical="center"/>
    </xf>
    <xf numFmtId="0" fontId="134" fillId="2" borderId="0" xfId="0" applyFont="1" applyFill="1" applyAlignment="1">
      <alignment vertical="top"/>
    </xf>
    <xf numFmtId="0" fontId="7" fillId="2" borderId="0" xfId="0" applyFont="1" applyFill="1" applyAlignment="1">
      <alignment horizontal="left" vertical="center" indent="1"/>
    </xf>
    <xf numFmtId="0" fontId="7" fillId="2" borderId="0" xfId="0" applyFont="1" applyFill="1" applyAlignment="1">
      <alignment horizontal="left" vertical="center" wrapText="1" indent="1"/>
    </xf>
    <xf numFmtId="0" fontId="7" fillId="2" borderId="0" xfId="0" applyFont="1" applyFill="1" applyAlignment="1">
      <alignment horizontal="left" vertical="center"/>
    </xf>
    <xf numFmtId="166" fontId="10" fillId="2" borderId="0" xfId="2" applyNumberFormat="1" applyFont="1" applyFill="1" applyAlignment="1">
      <alignment horizontal="center" vertical="center" wrapText="1"/>
    </xf>
    <xf numFmtId="0" fontId="8" fillId="2" borderId="9" xfId="0" applyFont="1" applyFill="1" applyBorder="1" applyAlignment="1">
      <alignment vertical="center" wrapText="1"/>
    </xf>
    <xf numFmtId="164" fontId="7" fillId="27" borderId="9" xfId="2" applyNumberFormat="1" applyFont="1" applyFill="1" applyBorder="1" applyAlignment="1">
      <alignment horizontal="right" vertical="center" wrapText="1"/>
    </xf>
    <xf numFmtId="0" fontId="128" fillId="21" borderId="32" xfId="0" applyFont="1" applyFill="1" applyBorder="1" applyAlignment="1">
      <alignment horizontal="left" vertical="center"/>
    </xf>
    <xf numFmtId="0" fontId="7" fillId="21" borderId="32" xfId="0" applyFont="1" applyFill="1" applyBorder="1" applyAlignment="1">
      <alignment horizontal="center" vertical="center" wrapText="1"/>
    </xf>
    <xf numFmtId="0" fontId="8" fillId="2" borderId="32" xfId="0" applyFont="1" applyFill="1" applyBorder="1" applyAlignment="1">
      <alignment vertical="center"/>
    </xf>
    <xf numFmtId="0" fontId="117" fillId="21" borderId="32" xfId="0" applyFont="1" applyFill="1" applyBorder="1" applyAlignment="1">
      <alignment horizontal="center" vertical="center" wrapText="1"/>
    </xf>
    <xf numFmtId="0" fontId="128" fillId="0" borderId="32" xfId="0" applyFont="1" applyBorder="1" applyAlignment="1">
      <alignment vertical="center"/>
    </xf>
    <xf numFmtId="0" fontId="116" fillId="0" borderId="32" xfId="0" applyFont="1" applyBorder="1" applyAlignment="1">
      <alignment horizontal="right" wrapText="1"/>
    </xf>
    <xf numFmtId="0" fontId="8" fillId="0" borderId="32" xfId="0" applyFont="1" applyBorder="1" applyAlignment="1">
      <alignment horizontal="right" wrapText="1"/>
    </xf>
    <xf numFmtId="0" fontId="117" fillId="2" borderId="32" xfId="0" applyFont="1" applyFill="1" applyBorder="1" applyAlignment="1">
      <alignment horizontal="left" wrapText="1" indent="1"/>
    </xf>
    <xf numFmtId="166" fontId="117" fillId="0" borderId="32" xfId="2" applyNumberFormat="1" applyFont="1" applyBorder="1" applyAlignment="1">
      <alignment horizontal="center" vertical="center" wrapText="1"/>
    </xf>
    <xf numFmtId="0" fontId="8" fillId="2" borderId="32" xfId="0" applyFont="1" applyFill="1" applyBorder="1" applyAlignment="1">
      <alignment horizontal="left" vertical="center" wrapText="1"/>
    </xf>
    <xf numFmtId="0" fontId="128" fillId="2" borderId="32" xfId="0" applyFont="1" applyFill="1" applyBorder="1" applyAlignment="1">
      <alignment vertical="center" wrapText="1"/>
    </xf>
    <xf numFmtId="0" fontId="117" fillId="2" borderId="32" xfId="0" applyFont="1" applyFill="1" applyBorder="1" applyAlignment="1">
      <alignment horizontal="left" vertical="center" wrapText="1"/>
    </xf>
    <xf numFmtId="164" fontId="82" fillId="24" borderId="46" xfId="3" applyNumberFormat="1" applyFont="1" applyFill="1" applyBorder="1" applyAlignment="1">
      <alignment vertical="center" wrapText="1"/>
    </xf>
    <xf numFmtId="0" fontId="116" fillId="2" borderId="32" xfId="0" applyFont="1" applyFill="1" applyBorder="1" applyAlignment="1">
      <alignment horizontal="left" indent="2"/>
    </xf>
    <xf numFmtId="166" fontId="116" fillId="0" borderId="32" xfId="2" applyNumberFormat="1" applyFont="1" applyBorder="1" applyAlignment="1">
      <alignment horizontal="center" vertical="center" wrapText="1"/>
    </xf>
    <xf numFmtId="0" fontId="125" fillId="2" borderId="32" xfId="0" applyFont="1" applyFill="1" applyBorder="1" applyAlignment="1">
      <alignment horizontal="left" wrapText="1" indent="2"/>
    </xf>
    <xf numFmtId="0" fontId="116" fillId="2" borderId="32" xfId="0" applyFont="1" applyFill="1" applyBorder="1"/>
    <xf numFmtId="0" fontId="116" fillId="2" borderId="32" xfId="0" applyFont="1" applyFill="1" applyBorder="1" applyAlignment="1">
      <alignment horizontal="left" wrapText="1" indent="2"/>
    </xf>
    <xf numFmtId="0" fontId="128" fillId="0" borderId="32" xfId="0" applyFont="1" applyBorder="1" applyAlignment="1">
      <alignment vertical="center" wrapText="1"/>
    </xf>
    <xf numFmtId="0" fontId="58" fillId="26" borderId="32" xfId="0" applyFont="1" applyFill="1" applyBorder="1" applyAlignment="1">
      <alignment horizontal="left" vertical="center" wrapText="1"/>
    </xf>
    <xf numFmtId="0" fontId="125" fillId="2" borderId="32" xfId="0" applyFont="1" applyFill="1" applyBorder="1" applyAlignment="1">
      <alignment vertical="center" wrapText="1"/>
    </xf>
    <xf numFmtId="0" fontId="116" fillId="2" borderId="32" xfId="0" applyFont="1" applyFill="1" applyBorder="1" applyAlignment="1">
      <alignment vertical="center"/>
    </xf>
    <xf numFmtId="166" fontId="116" fillId="2" borderId="32" xfId="0" applyNumberFormat="1" applyFont="1" applyFill="1" applyBorder="1" applyAlignment="1">
      <alignment vertical="center"/>
    </xf>
    <xf numFmtId="166" fontId="116" fillId="2" borderId="32" xfId="2" applyNumberFormat="1" applyFont="1" applyFill="1" applyBorder="1" applyAlignment="1">
      <alignment horizontal="center" vertical="center"/>
    </xf>
    <xf numFmtId="166" fontId="117" fillId="2" borderId="32" xfId="2" applyNumberFormat="1" applyFont="1" applyFill="1" applyBorder="1" applyAlignment="1">
      <alignment horizontal="right" vertical="center"/>
    </xf>
    <xf numFmtId="0" fontId="125" fillId="2" borderId="32" xfId="0" applyFont="1" applyFill="1" applyBorder="1" applyAlignment="1">
      <alignment vertical="center"/>
    </xf>
    <xf numFmtId="166" fontId="125" fillId="2" borderId="32" xfId="2" applyNumberFormat="1" applyFont="1" applyFill="1" applyBorder="1" applyAlignment="1">
      <alignment horizontal="right" vertical="center"/>
    </xf>
    <xf numFmtId="166" fontId="116" fillId="21" borderId="32" xfId="2" applyNumberFormat="1" applyFont="1" applyFill="1" applyBorder="1" applyAlignment="1">
      <alignment horizontal="right" vertical="center"/>
    </xf>
    <xf numFmtId="0" fontId="21" fillId="18" borderId="5" xfId="0" applyFont="1" applyFill="1" applyBorder="1" applyAlignment="1">
      <alignment wrapText="1"/>
    </xf>
    <xf numFmtId="0" fontId="13" fillId="18" borderId="5" xfId="0" applyFont="1" applyFill="1" applyBorder="1" applyAlignment="1">
      <alignment vertical="center" wrapText="1"/>
    </xf>
    <xf numFmtId="0" fontId="8" fillId="18" borderId="5" xfId="0" applyFont="1" applyFill="1" applyBorder="1" applyAlignment="1">
      <alignment horizontal="center" vertical="center" wrapText="1"/>
    </xf>
    <xf numFmtId="0" fontId="58" fillId="26" borderId="32" xfId="0" applyFont="1" applyFill="1" applyBorder="1" applyAlignment="1">
      <alignment vertical="center"/>
    </xf>
    <xf numFmtId="0" fontId="25" fillId="26" borderId="32" xfId="0" applyFont="1" applyFill="1" applyBorder="1" applyAlignment="1">
      <alignment horizontal="center" vertical="center" wrapText="1"/>
    </xf>
    <xf numFmtId="0" fontId="8" fillId="2" borderId="32" xfId="0" applyFont="1" applyFill="1" applyBorder="1" applyAlignment="1">
      <alignment horizontal="left" indent="2"/>
    </xf>
    <xf numFmtId="0" fontId="8" fillId="2" borderId="32" xfId="0" applyFont="1" applyFill="1" applyBorder="1" applyAlignment="1">
      <alignment horizontal="center" vertical="center" wrapText="1"/>
    </xf>
    <xf numFmtId="0" fontId="8" fillId="2" borderId="32" xfId="0" applyFont="1" applyFill="1" applyBorder="1" applyAlignment="1">
      <alignment horizontal="left" wrapText="1" indent="2"/>
    </xf>
    <xf numFmtId="0" fontId="10" fillId="0" borderId="32" xfId="0" applyFont="1" applyBorder="1" applyAlignment="1">
      <alignment vertical="center"/>
    </xf>
    <xf numFmtId="166" fontId="8" fillId="0" borderId="32" xfId="2" applyNumberFormat="1" applyFont="1" applyBorder="1" applyAlignment="1">
      <alignment horizontal="center" vertical="center" wrapText="1"/>
    </xf>
    <xf numFmtId="166" fontId="8" fillId="17" borderId="32" xfId="2" applyNumberFormat="1" applyFont="1" applyFill="1" applyBorder="1" applyAlignment="1">
      <alignment horizontal="center" vertical="center" wrapText="1"/>
    </xf>
    <xf numFmtId="0" fontId="7" fillId="0" borderId="32" xfId="0" applyFont="1" applyBorder="1" applyAlignment="1">
      <alignment horizontal="left" vertical="center" wrapText="1"/>
    </xf>
    <xf numFmtId="0" fontId="6" fillId="19" borderId="32" xfId="0" applyFont="1" applyFill="1" applyBorder="1" applyAlignment="1">
      <alignment horizontal="center" vertical="center" wrapText="1"/>
    </xf>
    <xf numFmtId="0" fontId="12" fillId="0" borderId="32" xfId="0" applyFont="1" applyBorder="1" applyAlignment="1">
      <alignment horizontal="right" vertical="center" wrapText="1"/>
    </xf>
    <xf numFmtId="0" fontId="12" fillId="0" borderId="32" xfId="0" applyFont="1" applyBorder="1" applyAlignment="1">
      <alignment horizontal="right" vertical="center"/>
    </xf>
    <xf numFmtId="0" fontId="12" fillId="2" borderId="32" xfId="0" applyFont="1" applyFill="1" applyBorder="1" applyAlignment="1">
      <alignment horizontal="right" vertical="center"/>
    </xf>
    <xf numFmtId="0" fontId="128" fillId="2" borderId="32" xfId="0" applyFont="1" applyFill="1" applyBorder="1" applyAlignment="1">
      <alignment horizontal="left" wrapText="1"/>
    </xf>
    <xf numFmtId="0" fontId="116" fillId="0" borderId="32" xfId="0" applyFont="1" applyBorder="1" applyAlignment="1">
      <alignment vertical="center" wrapText="1"/>
    </xf>
    <xf numFmtId="0" fontId="117" fillId="0" borderId="32" xfId="0" applyFont="1" applyBorder="1" applyAlignment="1">
      <alignment vertical="center" wrapText="1"/>
    </xf>
    <xf numFmtId="0" fontId="116" fillId="2" borderId="32" xfId="0" applyFont="1" applyFill="1" applyBorder="1" applyAlignment="1">
      <alignment vertical="center" wrapText="1"/>
    </xf>
    <xf numFmtId="0" fontId="7" fillId="0" borderId="32" xfId="0" applyFont="1" applyBorder="1" applyAlignment="1">
      <alignment vertical="center"/>
    </xf>
    <xf numFmtId="0" fontId="7" fillId="0" borderId="32" xfId="0" applyFont="1" applyBorder="1" applyAlignment="1">
      <alignment horizontal="left" vertical="center" indent="1"/>
    </xf>
    <xf numFmtId="0" fontId="7" fillId="0" borderId="32" xfId="0" applyFont="1" applyBorder="1" applyAlignment="1">
      <alignment horizontal="left" vertical="center" wrapText="1" indent="1"/>
    </xf>
    <xf numFmtId="0" fontId="7" fillId="0" borderId="32" xfId="0" applyFont="1" applyBorder="1" applyAlignment="1">
      <alignment horizontal="left" vertical="center"/>
    </xf>
    <xf numFmtId="0" fontId="7" fillId="2" borderId="32" xfId="0" applyFont="1" applyFill="1" applyBorder="1" applyAlignment="1">
      <alignment vertical="center"/>
    </xf>
    <xf numFmtId="0" fontId="117" fillId="5" borderId="32" xfId="0" applyFont="1" applyFill="1" applyBorder="1" applyAlignment="1">
      <alignment vertical="center"/>
    </xf>
    <xf numFmtId="166" fontId="117" fillId="7" borderId="32" xfId="2" applyNumberFormat="1" applyFont="1" applyFill="1" applyBorder="1" applyAlignment="1">
      <alignment horizontal="right" vertical="center"/>
    </xf>
    <xf numFmtId="165" fontId="126" fillId="0" borderId="32" xfId="0" applyNumberFormat="1" applyFont="1" applyBorder="1" applyAlignment="1">
      <alignment horizontal="right" vertical="center"/>
    </xf>
    <xf numFmtId="0" fontId="117" fillId="0" borderId="32" xfId="0" applyFont="1" applyBorder="1" applyAlignment="1">
      <alignment horizontal="left" vertical="center"/>
    </xf>
    <xf numFmtId="0" fontId="117" fillId="0" borderId="32" xfId="0" applyFont="1" applyBorder="1" applyAlignment="1">
      <alignment vertical="center"/>
    </xf>
    <xf numFmtId="3" fontId="7" fillId="0" borderId="32" xfId="0" applyNumberFormat="1" applyFont="1" applyBorder="1" applyAlignment="1">
      <alignment vertical="center" wrapText="1"/>
    </xf>
    <xf numFmtId="0" fontId="127" fillId="0" borderId="32" xfId="0" applyFont="1" applyBorder="1" applyAlignment="1">
      <alignment vertical="center" wrapText="1"/>
    </xf>
    <xf numFmtId="0" fontId="126" fillId="0" borderId="32" xfId="0" applyFont="1" applyBorder="1" applyAlignment="1">
      <alignment horizontal="left" vertical="center" wrapText="1"/>
    </xf>
    <xf numFmtId="3" fontId="126" fillId="2" borderId="32" xfId="0" applyNumberFormat="1" applyFont="1" applyFill="1" applyBorder="1" applyAlignment="1">
      <alignment horizontal="right" vertical="center" wrapText="1"/>
    </xf>
    <xf numFmtId="3" fontId="127" fillId="2" borderId="32" xfId="0" applyNumberFormat="1" applyFont="1" applyFill="1" applyBorder="1" applyAlignment="1">
      <alignment horizontal="right" vertical="center" wrapText="1"/>
    </xf>
    <xf numFmtId="0" fontId="116" fillId="0" borderId="32" xfId="0" applyFont="1" applyBorder="1" applyAlignment="1">
      <alignment vertical="center"/>
    </xf>
    <xf numFmtId="3" fontId="117" fillId="5" borderId="32" xfId="0" applyNumberFormat="1" applyFont="1" applyFill="1" applyBorder="1" applyAlignment="1">
      <alignment horizontal="right" vertical="center"/>
    </xf>
    <xf numFmtId="0" fontId="125" fillId="0" borderId="32" xfId="0" applyFont="1" applyBorder="1" applyAlignment="1">
      <alignment vertical="center"/>
    </xf>
    <xf numFmtId="3" fontId="128" fillId="5" borderId="32" xfId="0" applyNumberFormat="1" applyFont="1" applyFill="1" applyBorder="1" applyAlignment="1">
      <alignment horizontal="right" vertical="center"/>
    </xf>
    <xf numFmtId="0" fontId="128" fillId="5" borderId="32" xfId="0" applyFont="1" applyFill="1" applyBorder="1" applyAlignment="1">
      <alignment horizontal="right" vertical="center"/>
    </xf>
    <xf numFmtId="0" fontId="72" fillId="4" borderId="32" xfId="0" applyFont="1" applyFill="1" applyBorder="1" applyAlignment="1">
      <alignment vertical="center"/>
    </xf>
    <xf numFmtId="0" fontId="80" fillId="4" borderId="32" xfId="0" applyFont="1" applyFill="1" applyBorder="1" applyAlignment="1">
      <alignment vertical="center"/>
    </xf>
    <xf numFmtId="0" fontId="141" fillId="19" borderId="13" xfId="0" applyFont="1" applyFill="1" applyBorder="1" applyAlignment="1">
      <alignment vertical="center"/>
    </xf>
    <xf numFmtId="9" fontId="6" fillId="19" borderId="13" xfId="3" applyFont="1" applyFill="1" applyBorder="1" applyAlignment="1">
      <alignment horizontal="right" vertical="center"/>
    </xf>
    <xf numFmtId="0" fontId="52" fillId="2" borderId="0" xfId="0" applyFont="1" applyFill="1" applyAlignment="1">
      <alignment horizontal="left" vertical="top" wrapText="1"/>
    </xf>
    <xf numFmtId="0" fontId="8" fillId="0" borderId="0" xfId="0" applyFont="1" applyAlignment="1">
      <alignment vertical="center" wrapText="1"/>
    </xf>
    <xf numFmtId="0" fontId="143" fillId="2" borderId="0" xfId="0" applyFont="1" applyFill="1" applyAlignment="1">
      <alignment vertical="center"/>
    </xf>
    <xf numFmtId="0" fontId="58" fillId="35" borderId="0" xfId="0" applyFont="1" applyFill="1" applyAlignment="1">
      <alignment vertical="center"/>
    </xf>
    <xf numFmtId="0" fontId="144" fillId="2" borderId="0" xfId="0" applyFont="1" applyFill="1" applyAlignment="1">
      <alignment horizontal="left" vertical="center"/>
    </xf>
    <xf numFmtId="0" fontId="80" fillId="12" borderId="35" xfId="0" applyFont="1" applyFill="1" applyBorder="1" applyAlignment="1">
      <alignment horizontal="left" vertical="center" wrapText="1"/>
    </xf>
    <xf numFmtId="0" fontId="80" fillId="12" borderId="34" xfId="0" applyFont="1" applyFill="1" applyBorder="1" applyAlignment="1">
      <alignment horizontal="left" vertical="center" wrapText="1"/>
    </xf>
    <xf numFmtId="0" fontId="145" fillId="13" borderId="33" xfId="0" applyFont="1" applyFill="1" applyBorder="1" applyAlignment="1">
      <alignment vertical="center"/>
    </xf>
    <xf numFmtId="0" fontId="145" fillId="13" borderId="34" xfId="0" applyFont="1" applyFill="1" applyBorder="1" applyAlignment="1">
      <alignment vertical="center"/>
    </xf>
    <xf numFmtId="0" fontId="72" fillId="19" borderId="37" xfId="0" applyFont="1" applyFill="1" applyBorder="1" applyAlignment="1">
      <alignment vertical="center" wrapText="1"/>
    </xf>
    <xf numFmtId="0" fontId="72" fillId="19" borderId="37" xfId="0" applyFont="1" applyFill="1" applyBorder="1" applyAlignment="1">
      <alignment horizontal="left" vertical="center" wrapText="1"/>
    </xf>
    <xf numFmtId="0" fontId="72" fillId="12" borderId="37" xfId="0" applyFont="1" applyFill="1" applyBorder="1" applyAlignment="1">
      <alignment vertical="center" wrapText="1"/>
    </xf>
    <xf numFmtId="0" fontId="11" fillId="19" borderId="9" xfId="0" applyFont="1" applyFill="1" applyBorder="1" applyAlignment="1">
      <alignment vertical="center"/>
    </xf>
    <xf numFmtId="0" fontId="72" fillId="2" borderId="0" xfId="0" applyFont="1" applyFill="1" applyAlignment="1">
      <alignment vertical="center"/>
    </xf>
    <xf numFmtId="0" fontId="72" fillId="2" borderId="35" xfId="0" applyFont="1" applyFill="1" applyBorder="1" applyAlignment="1">
      <alignment vertical="center"/>
    </xf>
    <xf numFmtId="0" fontId="72" fillId="19" borderId="35" xfId="0" applyFont="1" applyFill="1" applyBorder="1" applyAlignment="1">
      <alignment vertical="center"/>
    </xf>
    <xf numFmtId="9" fontId="82" fillId="23" borderId="32" xfId="3" applyFont="1" applyFill="1" applyBorder="1" applyAlignment="1">
      <alignment vertical="center" wrapText="1"/>
    </xf>
    <xf numFmtId="166" fontId="116" fillId="4" borderId="32" xfId="2" applyNumberFormat="1" applyFont="1" applyFill="1" applyBorder="1" applyAlignment="1">
      <alignment horizontal="center" vertical="center" wrapText="1"/>
    </xf>
    <xf numFmtId="0" fontId="7" fillId="0" borderId="32" xfId="0" applyFont="1" applyBorder="1" applyAlignment="1">
      <alignment horizontal="center" vertical="center" wrapText="1"/>
    </xf>
    <xf numFmtId="0" fontId="13" fillId="19" borderId="32" xfId="0" applyFont="1" applyFill="1" applyBorder="1" applyAlignment="1">
      <alignment vertical="center"/>
    </xf>
    <xf numFmtId="0" fontId="13" fillId="2" borderId="32" xfId="0" applyFont="1" applyFill="1" applyBorder="1" applyAlignment="1">
      <alignment vertical="center" wrapText="1"/>
    </xf>
    <xf numFmtId="0" fontId="13" fillId="19" borderId="32" xfId="0" applyFont="1" applyFill="1" applyBorder="1" applyAlignment="1">
      <alignment horizontal="left" vertical="center" wrapText="1"/>
    </xf>
    <xf numFmtId="0" fontId="11" fillId="19" borderId="32" xfId="0" applyFont="1" applyFill="1" applyBorder="1" applyAlignment="1">
      <alignment horizontal="left" vertical="center" wrapText="1"/>
    </xf>
    <xf numFmtId="0" fontId="13" fillId="19" borderId="36" xfId="0" applyFont="1" applyFill="1" applyBorder="1" applyAlignment="1">
      <alignment horizontal="left" vertical="center" wrapText="1"/>
    </xf>
    <xf numFmtId="0" fontId="13" fillId="0" borderId="7" xfId="0" applyFont="1" applyBorder="1" applyAlignment="1">
      <alignment vertical="center" wrapText="1"/>
    </xf>
    <xf numFmtId="0" fontId="125" fillId="12" borderId="32" xfId="0" applyFont="1" applyFill="1" applyBorder="1" applyAlignment="1">
      <alignment vertical="center" wrapText="1"/>
    </xf>
    <xf numFmtId="0" fontId="60" fillId="5" borderId="0" xfId="0" applyFont="1" applyFill="1"/>
    <xf numFmtId="0" fontId="89" fillId="5" borderId="0" xfId="0" applyFont="1" applyFill="1" applyAlignment="1">
      <alignment vertical="center"/>
    </xf>
    <xf numFmtId="0" fontId="88" fillId="5" borderId="0" xfId="0" applyFont="1" applyFill="1" applyAlignment="1">
      <alignment vertical="center" wrapText="1"/>
    </xf>
    <xf numFmtId="0" fontId="81" fillId="0" borderId="0" xfId="0" applyFont="1" applyAlignment="1">
      <alignment vertical="center" wrapText="1"/>
    </xf>
    <xf numFmtId="0" fontId="81" fillId="2" borderId="0" xfId="0" applyFont="1" applyFill="1" applyAlignment="1">
      <alignment vertical="top" wrapText="1"/>
    </xf>
    <xf numFmtId="0" fontId="13" fillId="19" borderId="51" xfId="0" applyFont="1" applyFill="1" applyBorder="1" applyAlignment="1">
      <alignment horizontal="left" vertical="center" wrapText="1"/>
    </xf>
    <xf numFmtId="0" fontId="13" fillId="2" borderId="51" xfId="0" applyFont="1" applyFill="1" applyBorder="1" applyAlignment="1">
      <alignment vertical="center" wrapText="1"/>
    </xf>
    <xf numFmtId="0" fontId="13" fillId="2" borderId="52" xfId="0" applyFont="1" applyFill="1" applyBorder="1" applyAlignment="1">
      <alignment vertical="center" wrapText="1"/>
    </xf>
    <xf numFmtId="0" fontId="13" fillId="2" borderId="50" xfId="0" applyFont="1" applyFill="1" applyBorder="1" applyAlignment="1">
      <alignment vertical="center" wrapText="1"/>
    </xf>
    <xf numFmtId="0" fontId="12" fillId="19" borderId="50" xfId="0" applyFont="1" applyFill="1" applyBorder="1" applyAlignment="1">
      <alignment vertical="center" wrapText="1"/>
    </xf>
    <xf numFmtId="0" fontId="13" fillId="19" borderId="50" xfId="0" applyFont="1" applyFill="1" applyBorder="1" applyAlignment="1">
      <alignment horizontal="left" vertical="center" wrapText="1"/>
    </xf>
    <xf numFmtId="0" fontId="13" fillId="0" borderId="50" xfId="0" applyFont="1" applyBorder="1" applyAlignment="1">
      <alignment vertical="center" wrapText="1"/>
    </xf>
    <xf numFmtId="0" fontId="12" fillId="19" borderId="51" xfId="0" applyFont="1" applyFill="1" applyBorder="1" applyAlignment="1">
      <alignment vertical="center"/>
    </xf>
    <xf numFmtId="0" fontId="12" fillId="19" borderId="52" xfId="0" applyFont="1" applyFill="1" applyBorder="1" applyAlignment="1">
      <alignment vertical="center"/>
    </xf>
    <xf numFmtId="0" fontId="13" fillId="19" borderId="52" xfId="0" applyFont="1" applyFill="1" applyBorder="1" applyAlignment="1">
      <alignment horizontal="left" vertical="center" wrapText="1"/>
    </xf>
    <xf numFmtId="169" fontId="83" fillId="8" borderId="32" xfId="0" applyNumberFormat="1" applyFont="1" applyFill="1" applyBorder="1" applyAlignment="1">
      <alignment vertical="center" wrapText="1"/>
    </xf>
    <xf numFmtId="0" fontId="116" fillId="4" borderId="32" xfId="0" applyFont="1" applyFill="1" applyBorder="1"/>
    <xf numFmtId="0" fontId="116" fillId="4" borderId="32" xfId="0" applyFont="1" applyFill="1" applyBorder="1" applyAlignment="1">
      <alignment horizontal="right" wrapText="1"/>
    </xf>
    <xf numFmtId="3" fontId="87" fillId="4" borderId="32" xfId="0" applyNumberFormat="1" applyFont="1" applyFill="1" applyBorder="1" applyAlignment="1">
      <alignment horizontal="right" vertical="center" wrapText="1"/>
    </xf>
    <xf numFmtId="166" fontId="86" fillId="4" borderId="32" xfId="0" applyNumberFormat="1" applyFont="1" applyFill="1" applyBorder="1" applyAlignment="1">
      <alignment vertical="center"/>
    </xf>
    <xf numFmtId="166" fontId="117" fillId="0" borderId="32" xfId="2" applyNumberFormat="1" applyFont="1" applyFill="1" applyBorder="1" applyAlignment="1">
      <alignment horizontal="right" vertical="center"/>
    </xf>
    <xf numFmtId="3" fontId="87" fillId="4" borderId="32" xfId="0" applyNumberFormat="1" applyFont="1" applyFill="1" applyBorder="1" applyAlignment="1">
      <alignment horizontal="right" vertical="center"/>
    </xf>
    <xf numFmtId="0" fontId="87" fillId="4" borderId="32" xfId="0" applyFont="1" applyFill="1" applyBorder="1" applyAlignment="1">
      <alignment horizontal="right" vertical="center"/>
    </xf>
    <xf numFmtId="165" fontId="87" fillId="4" borderId="32" xfId="0" applyNumberFormat="1" applyFont="1" applyFill="1" applyBorder="1" applyAlignment="1">
      <alignment horizontal="right" vertical="center" wrapText="1"/>
    </xf>
    <xf numFmtId="166" fontId="87" fillId="23" borderId="32" xfId="2" applyNumberFormat="1" applyFont="1" applyFill="1" applyBorder="1" applyAlignment="1">
      <alignment horizontal="right" vertical="center"/>
    </xf>
    <xf numFmtId="171" fontId="87" fillId="4" borderId="32" xfId="0" applyNumberFormat="1" applyFont="1" applyFill="1" applyBorder="1" applyAlignment="1">
      <alignment horizontal="right" vertical="center"/>
    </xf>
    <xf numFmtId="166" fontId="125" fillId="4" borderId="32" xfId="2" applyNumberFormat="1" applyFont="1" applyFill="1" applyBorder="1" applyAlignment="1">
      <alignment horizontal="right" vertical="center"/>
    </xf>
    <xf numFmtId="166" fontId="128" fillId="4" borderId="32" xfId="2" applyNumberFormat="1" applyFont="1" applyFill="1" applyBorder="1" applyAlignment="1">
      <alignment horizontal="right" vertical="center"/>
    </xf>
    <xf numFmtId="167" fontId="116" fillId="2" borderId="32" xfId="2" applyNumberFormat="1" applyFont="1" applyFill="1" applyBorder="1" applyAlignment="1">
      <alignment horizontal="right" vertical="center"/>
    </xf>
    <xf numFmtId="166" fontId="116" fillId="2" borderId="32" xfId="2" applyNumberFormat="1" applyFont="1" applyFill="1" applyBorder="1" applyAlignment="1">
      <alignment horizontal="right" vertical="center"/>
    </xf>
    <xf numFmtId="166" fontId="125" fillId="0" borderId="32" xfId="2" applyNumberFormat="1" applyFont="1" applyBorder="1" applyAlignment="1">
      <alignment horizontal="right" vertical="center"/>
    </xf>
    <xf numFmtId="166" fontId="128" fillId="0" borderId="32" xfId="2" applyNumberFormat="1" applyFont="1" applyFill="1" applyBorder="1" applyAlignment="1">
      <alignment horizontal="right" vertical="center"/>
    </xf>
    <xf numFmtId="166" fontId="125" fillId="2" borderId="0" xfId="2" applyNumberFormat="1" applyFont="1" applyFill="1" applyBorder="1" applyAlignment="1">
      <alignment horizontal="right" vertical="center"/>
    </xf>
    <xf numFmtId="9" fontId="125" fillId="4" borderId="32" xfId="3" applyFont="1" applyFill="1" applyBorder="1" applyAlignment="1">
      <alignment horizontal="right" vertical="center"/>
    </xf>
    <xf numFmtId="166" fontId="128" fillId="0" borderId="32" xfId="2" applyNumberFormat="1" applyFont="1" applyBorder="1" applyAlignment="1">
      <alignment horizontal="right" vertical="center"/>
    </xf>
    <xf numFmtId="9" fontId="117" fillId="0" borderId="32" xfId="3" applyFont="1" applyFill="1" applyBorder="1" applyAlignment="1">
      <alignment horizontal="right" vertical="center"/>
    </xf>
    <xf numFmtId="166" fontId="87" fillId="4" borderId="32" xfId="2" applyNumberFormat="1" applyFont="1" applyFill="1" applyBorder="1" applyAlignment="1">
      <alignment horizontal="right" vertical="center"/>
    </xf>
    <xf numFmtId="10" fontId="87" fillId="2" borderId="0" xfId="3" applyNumberFormat="1" applyFont="1" applyFill="1" applyBorder="1" applyAlignment="1">
      <alignment horizontal="right" vertical="center"/>
    </xf>
    <xf numFmtId="0" fontId="87" fillId="4" borderId="32" xfId="0" applyFont="1" applyFill="1" applyBorder="1" applyAlignment="1">
      <alignment vertical="center"/>
    </xf>
    <xf numFmtId="3" fontId="116" fillId="0" borderId="32" xfId="0" applyNumberFormat="1" applyFont="1" applyBorder="1" applyAlignment="1">
      <alignment horizontal="right" vertical="center" wrapText="1"/>
    </xf>
    <xf numFmtId="166" fontId="117" fillId="0" borderId="32" xfId="2" applyNumberFormat="1" applyFont="1" applyBorder="1" applyAlignment="1">
      <alignment horizontal="right" vertical="center"/>
    </xf>
    <xf numFmtId="3" fontId="117" fillId="0" borderId="32" xfId="0" applyNumberFormat="1" applyFont="1" applyBorder="1" applyAlignment="1">
      <alignment horizontal="right" vertical="center" wrapText="1"/>
    </xf>
    <xf numFmtId="3" fontId="125" fillId="0" borderId="32" xfId="0" applyNumberFormat="1" applyFont="1" applyBorder="1" applyAlignment="1">
      <alignment horizontal="right" vertical="center" wrapText="1"/>
    </xf>
    <xf numFmtId="166" fontId="128" fillId="2" borderId="32" xfId="2" applyNumberFormat="1" applyFont="1" applyFill="1" applyBorder="1" applyAlignment="1">
      <alignment horizontal="right" vertical="center"/>
    </xf>
    <xf numFmtId="166" fontId="128" fillId="2" borderId="0" xfId="2" applyNumberFormat="1" applyFont="1" applyFill="1" applyBorder="1" applyAlignment="1">
      <alignment horizontal="right" vertical="center"/>
    </xf>
    <xf numFmtId="166" fontId="86" fillId="4" borderId="32" xfId="2" applyNumberFormat="1" applyFont="1" applyFill="1" applyBorder="1" applyAlignment="1">
      <alignment horizontal="right" vertical="center"/>
    </xf>
    <xf numFmtId="3" fontId="87" fillId="4" borderId="32" xfId="0" applyNumberFormat="1" applyFont="1" applyFill="1" applyBorder="1" applyAlignment="1">
      <alignment vertical="center" wrapText="1"/>
    </xf>
    <xf numFmtId="167" fontId="87" fillId="4" borderId="32" xfId="2" applyNumberFormat="1" applyFont="1" applyFill="1" applyBorder="1" applyAlignment="1">
      <alignment horizontal="right" vertical="center"/>
    </xf>
    <xf numFmtId="9" fontId="87" fillId="4" borderId="32" xfId="3" applyFont="1" applyFill="1" applyBorder="1" applyAlignment="1">
      <alignment horizontal="right" vertical="center"/>
    </xf>
    <xf numFmtId="166" fontId="87" fillId="2" borderId="0" xfId="2" applyNumberFormat="1" applyFont="1" applyFill="1" applyBorder="1" applyAlignment="1">
      <alignment horizontal="right" vertical="center"/>
    </xf>
    <xf numFmtId="164" fontId="86" fillId="4" borderId="32" xfId="2" applyNumberFormat="1" applyFont="1" applyFill="1" applyBorder="1" applyAlignment="1">
      <alignment horizontal="right" vertical="center" wrapText="1"/>
    </xf>
    <xf numFmtId="164" fontId="87" fillId="4" borderId="32" xfId="2" applyNumberFormat="1" applyFont="1" applyFill="1" applyBorder="1" applyAlignment="1">
      <alignment horizontal="right" vertical="center" wrapText="1"/>
    </xf>
    <xf numFmtId="164" fontId="117" fillId="4" borderId="32" xfId="3" applyNumberFormat="1" applyFont="1" applyFill="1" applyBorder="1" applyAlignment="1">
      <alignment horizontal="right" vertical="center" wrapText="1"/>
    </xf>
    <xf numFmtId="164" fontId="87" fillId="4" borderId="32" xfId="3" applyNumberFormat="1" applyFont="1" applyFill="1" applyBorder="1" applyAlignment="1">
      <alignment horizontal="right" vertical="center" wrapText="1"/>
    </xf>
    <xf numFmtId="9" fontId="87" fillId="4" borderId="32" xfId="3" applyFont="1" applyFill="1" applyBorder="1"/>
    <xf numFmtId="9" fontId="116" fillId="0" borderId="32" xfId="3" applyFont="1" applyBorder="1"/>
    <xf numFmtId="0" fontId="87" fillId="4" borderId="32" xfId="0" applyFont="1" applyFill="1" applyBorder="1"/>
    <xf numFmtId="0" fontId="116" fillId="0" borderId="32" xfId="0" applyFont="1" applyBorder="1"/>
    <xf numFmtId="168" fontId="87" fillId="4" borderId="32" xfId="2" applyNumberFormat="1" applyFont="1" applyFill="1" applyBorder="1" applyAlignment="1">
      <alignment horizontal="center" vertical="center" wrapText="1"/>
    </xf>
    <xf numFmtId="9" fontId="86" fillId="23" borderId="32" xfId="3" applyFont="1" applyFill="1" applyBorder="1" applyAlignment="1">
      <alignment vertical="center" wrapText="1"/>
    </xf>
    <xf numFmtId="164" fontId="87" fillId="23" borderId="32" xfId="3" applyNumberFormat="1" applyFont="1" applyFill="1" applyBorder="1" applyAlignment="1">
      <alignment vertical="center" wrapText="1"/>
    </xf>
    <xf numFmtId="0" fontId="116" fillId="4" borderId="32" xfId="0" applyFont="1" applyFill="1" applyBorder="1" applyAlignment="1">
      <alignment horizontal="left" vertical="center" wrapText="1"/>
    </xf>
    <xf numFmtId="0" fontId="117" fillId="0" borderId="32" xfId="0" applyFont="1" applyBorder="1" applyAlignment="1">
      <alignment horizontal="left" vertical="center" indent="1"/>
    </xf>
    <xf numFmtId="0" fontId="117" fillId="0" borderId="32" xfId="0" applyFont="1" applyBorder="1" applyAlignment="1">
      <alignment horizontal="left" vertical="center" wrapText="1" indent="1"/>
    </xf>
    <xf numFmtId="0" fontId="117" fillId="2" borderId="32" xfId="0" applyFont="1" applyFill="1" applyBorder="1" applyAlignment="1">
      <alignment horizontal="left" vertical="center"/>
    </xf>
    <xf numFmtId="0" fontId="117" fillId="2" borderId="32" xfId="0" applyFont="1" applyFill="1" applyBorder="1" applyAlignment="1">
      <alignment horizontal="left" vertical="center" indent="1"/>
    </xf>
    <xf numFmtId="0" fontId="116" fillId="0" borderId="32" xfId="0" applyFont="1" applyBorder="1" applyAlignment="1">
      <alignment horizontal="left" vertical="center"/>
    </xf>
    <xf numFmtId="0" fontId="116" fillId="2" borderId="32" xfId="0" applyFont="1" applyFill="1" applyBorder="1" applyAlignment="1">
      <alignment horizontal="left" vertical="center"/>
    </xf>
    <xf numFmtId="0" fontId="126" fillId="2" borderId="32" xfId="0" applyFont="1" applyFill="1" applyBorder="1" applyAlignment="1">
      <alignment vertical="center"/>
    </xf>
    <xf numFmtId="0" fontId="125" fillId="2" borderId="0" xfId="0" applyFont="1" applyFill="1" applyAlignment="1">
      <alignment vertical="center"/>
    </xf>
    <xf numFmtId="0" fontId="116" fillId="0" borderId="32" xfId="0" applyFont="1" applyBorder="1" applyAlignment="1">
      <alignment horizontal="left" vertical="center" wrapText="1"/>
    </xf>
    <xf numFmtId="0" fontId="117" fillId="0" borderId="32" xfId="0" applyFont="1" applyBorder="1" applyAlignment="1">
      <alignment horizontal="left" vertical="center" wrapText="1"/>
    </xf>
    <xf numFmtId="0" fontId="117" fillId="2" borderId="32" xfId="0" applyFont="1" applyFill="1" applyBorder="1" applyAlignment="1">
      <alignment vertical="center"/>
    </xf>
    <xf numFmtId="0" fontId="116" fillId="2" borderId="32" xfId="0" applyFont="1" applyFill="1" applyBorder="1" applyAlignment="1">
      <alignment wrapText="1"/>
    </xf>
    <xf numFmtId="0" fontId="116" fillId="2" borderId="32" xfId="0" applyFont="1" applyFill="1" applyBorder="1" applyAlignment="1">
      <alignment horizontal="left" vertical="center" wrapText="1"/>
    </xf>
    <xf numFmtId="9" fontId="116" fillId="2" borderId="32" xfId="3" applyFont="1" applyFill="1" applyBorder="1" applyAlignment="1">
      <alignment horizontal="right"/>
    </xf>
    <xf numFmtId="166" fontId="86" fillId="4" borderId="32" xfId="0" applyNumberFormat="1" applyFont="1" applyFill="1" applyBorder="1" applyAlignment="1">
      <alignment horizontal="right" vertical="center" wrapText="1"/>
    </xf>
    <xf numFmtId="9" fontId="87" fillId="4" borderId="32" xfId="3" applyFont="1" applyFill="1" applyBorder="1" applyAlignment="1">
      <alignment horizontal="right" vertical="center" wrapText="1"/>
    </xf>
    <xf numFmtId="0" fontId="8" fillId="2" borderId="0" xfId="0" applyFont="1" applyFill="1" applyAlignment="1">
      <alignment horizontal="right" wrapText="1"/>
    </xf>
    <xf numFmtId="0" fontId="13" fillId="2" borderId="0" xfId="0" applyFont="1" applyFill="1" applyAlignment="1">
      <alignment horizontal="right" vertical="center" wrapText="1"/>
    </xf>
    <xf numFmtId="168" fontId="8" fillId="2" borderId="0" xfId="2" applyNumberFormat="1" applyFont="1" applyFill="1" applyBorder="1" applyAlignment="1">
      <alignment horizontal="right" vertical="center" wrapText="1"/>
    </xf>
    <xf numFmtId="0" fontId="8" fillId="2" borderId="0" xfId="0" applyFont="1" applyFill="1" applyAlignment="1">
      <alignment horizontal="right" vertical="center" wrapText="1"/>
    </xf>
    <xf numFmtId="0" fontId="93" fillId="19" borderId="13" xfId="0" applyFont="1" applyFill="1" applyBorder="1" applyAlignment="1">
      <alignment horizontal="right" vertical="center" wrapText="1"/>
    </xf>
    <xf numFmtId="0" fontId="93" fillId="19" borderId="13" xfId="0" applyFont="1" applyFill="1" applyBorder="1" applyAlignment="1">
      <alignment horizontal="right" vertical="center"/>
    </xf>
    <xf numFmtId="9" fontId="94" fillId="19" borderId="13" xfId="3" applyFont="1" applyFill="1" applyBorder="1" applyAlignment="1">
      <alignment horizontal="right" vertical="center"/>
    </xf>
    <xf numFmtId="9" fontId="6" fillId="19" borderId="13" xfId="3" applyFont="1" applyFill="1" applyBorder="1" applyAlignment="1">
      <alignment horizontal="right" vertical="center" wrapText="1"/>
    </xf>
    <xf numFmtId="166" fontId="86" fillId="4" borderId="32" xfId="2" applyNumberFormat="1" applyFont="1" applyFill="1" applyBorder="1" applyAlignment="1">
      <alignment horizontal="right" vertical="center" wrapText="1"/>
    </xf>
    <xf numFmtId="166" fontId="87" fillId="4" borderId="32" xfId="2" applyNumberFormat="1" applyFont="1" applyFill="1" applyBorder="1" applyAlignment="1">
      <alignment horizontal="right" vertical="center" wrapText="1"/>
    </xf>
    <xf numFmtId="166" fontId="86" fillId="4" borderId="32" xfId="2" applyNumberFormat="1" applyFont="1" applyFill="1" applyBorder="1" applyAlignment="1">
      <alignment horizontal="right" wrapText="1"/>
    </xf>
    <xf numFmtId="166" fontId="86" fillId="4" borderId="32" xfId="2" applyNumberFormat="1" applyFont="1" applyFill="1" applyBorder="1" applyAlignment="1">
      <alignment horizontal="right" vertical="top" wrapText="1"/>
    </xf>
    <xf numFmtId="166" fontId="86" fillId="0" borderId="32" xfId="0" applyNumberFormat="1" applyFont="1" applyBorder="1" applyAlignment="1">
      <alignment horizontal="right" wrapText="1"/>
    </xf>
    <xf numFmtId="166" fontId="86" fillId="2" borderId="32" xfId="2" applyNumberFormat="1" applyFont="1" applyFill="1" applyBorder="1" applyAlignment="1">
      <alignment horizontal="right" vertical="center"/>
    </xf>
    <xf numFmtId="9" fontId="87" fillId="4" borderId="32" xfId="3" applyFont="1" applyFill="1" applyBorder="1" applyAlignment="1">
      <alignment horizontal="right" wrapText="1"/>
    </xf>
    <xf numFmtId="166" fontId="86" fillId="0" borderId="32" xfId="2" applyNumberFormat="1" applyFont="1" applyBorder="1" applyAlignment="1">
      <alignment horizontal="right" vertical="center"/>
    </xf>
    <xf numFmtId="166" fontId="86" fillId="0" borderId="32" xfId="2" applyNumberFormat="1" applyFont="1" applyFill="1" applyBorder="1" applyAlignment="1">
      <alignment horizontal="right" vertical="center"/>
    </xf>
    <xf numFmtId="166" fontId="117" fillId="0" borderId="32" xfId="2" applyNumberFormat="1" applyFont="1" applyBorder="1" applyAlignment="1">
      <alignment horizontal="right" vertical="center" wrapText="1"/>
    </xf>
    <xf numFmtId="166" fontId="117" fillId="17" borderId="32" xfId="2" applyNumberFormat="1" applyFont="1" applyFill="1" applyBorder="1" applyAlignment="1">
      <alignment horizontal="right" vertical="center" wrapText="1"/>
    </xf>
    <xf numFmtId="166" fontId="128" fillId="0" borderId="32" xfId="2" applyNumberFormat="1" applyFont="1" applyBorder="1" applyAlignment="1">
      <alignment horizontal="right" vertical="center" wrapText="1"/>
    </xf>
    <xf numFmtId="166" fontId="117" fillId="2" borderId="32" xfId="2" applyNumberFormat="1" applyFont="1" applyFill="1" applyBorder="1" applyAlignment="1">
      <alignment horizontal="right" vertical="center" wrapText="1"/>
    </xf>
    <xf numFmtId="166" fontId="128" fillId="2" borderId="32" xfId="2" applyNumberFormat="1" applyFont="1" applyFill="1" applyBorder="1" applyAlignment="1">
      <alignment horizontal="right" vertical="center" wrapText="1"/>
    </xf>
    <xf numFmtId="0" fontId="86" fillId="4" borderId="32" xfId="0" applyFont="1" applyFill="1" applyBorder="1" applyAlignment="1">
      <alignment horizontal="right" vertical="center" wrapText="1"/>
    </xf>
    <xf numFmtId="166" fontId="116" fillId="2" borderId="32" xfId="2" applyNumberFormat="1" applyFont="1" applyFill="1" applyBorder="1" applyAlignment="1">
      <alignment horizontal="right" vertical="center" wrapText="1"/>
    </xf>
    <xf numFmtId="3" fontId="125" fillId="2" borderId="32" xfId="0" applyNumberFormat="1" applyFont="1" applyFill="1" applyBorder="1" applyAlignment="1">
      <alignment vertical="center" wrapText="1"/>
    </xf>
    <xf numFmtId="166" fontId="86" fillId="4" borderId="32" xfId="2" applyNumberFormat="1" applyFont="1" applyFill="1" applyBorder="1" applyAlignment="1">
      <alignment vertical="center"/>
    </xf>
    <xf numFmtId="166" fontId="117" fillId="2" borderId="32" xfId="2" applyNumberFormat="1" applyFont="1" applyFill="1" applyBorder="1" applyAlignment="1">
      <alignment vertical="center"/>
    </xf>
    <xf numFmtId="0" fontId="117" fillId="0" borderId="32" xfId="0" applyFont="1" applyBorder="1" applyAlignment="1">
      <alignment horizontal="right" vertical="center" wrapText="1"/>
    </xf>
    <xf numFmtId="2" fontId="117" fillId="0" borderId="32" xfId="0" applyNumberFormat="1" applyFont="1" applyBorder="1" applyAlignment="1">
      <alignment horizontal="right" vertical="center" wrapText="1"/>
    </xf>
    <xf numFmtId="1" fontId="117" fillId="0" borderId="32" xfId="0" applyNumberFormat="1" applyFont="1" applyBorder="1" applyAlignment="1">
      <alignment vertical="center"/>
    </xf>
    <xf numFmtId="2" fontId="117" fillId="0" borderId="32" xfId="0" applyNumberFormat="1" applyFont="1" applyBorder="1" applyAlignment="1">
      <alignment vertical="center"/>
    </xf>
    <xf numFmtId="165" fontId="117" fillId="0" borderId="32" xfId="0" applyNumberFormat="1" applyFont="1" applyBorder="1" applyAlignment="1">
      <alignment horizontal="right" vertical="center"/>
    </xf>
    <xf numFmtId="0" fontId="117" fillId="0" borderId="32" xfId="0" applyFont="1" applyBorder="1" applyAlignment="1">
      <alignment horizontal="right" vertical="center"/>
    </xf>
    <xf numFmtId="0" fontId="117" fillId="2" borderId="32" xfId="0" applyFont="1" applyFill="1" applyBorder="1" applyAlignment="1">
      <alignment horizontal="right" vertical="center"/>
    </xf>
    <xf numFmtId="2" fontId="117" fillId="0" borderId="32" xfId="0" applyNumberFormat="1" applyFont="1" applyBorder="1" applyAlignment="1">
      <alignment wrapText="1"/>
    </xf>
    <xf numFmtId="0" fontId="117" fillId="0" borderId="32" xfId="0" applyFont="1" applyBorder="1" applyAlignment="1">
      <alignment horizontal="right" wrapText="1"/>
    </xf>
    <xf numFmtId="0" fontId="117" fillId="0" borderId="32" xfId="0" applyFont="1" applyBorder="1" applyAlignment="1">
      <alignment wrapText="1"/>
    </xf>
    <xf numFmtId="0" fontId="128" fillId="20" borderId="6" xfId="0" applyFont="1" applyFill="1" applyBorder="1" applyAlignment="1">
      <alignment vertical="center" wrapText="1"/>
    </xf>
    <xf numFmtId="0" fontId="128" fillId="20" borderId="6" xfId="0" applyFont="1" applyFill="1" applyBorder="1" applyAlignment="1">
      <alignment horizontal="center" vertical="center"/>
    </xf>
    <xf numFmtId="0" fontId="116" fillId="2" borderId="6" xfId="0" applyFont="1" applyFill="1" applyBorder="1" applyAlignment="1">
      <alignment vertical="center" wrapText="1"/>
    </xf>
    <xf numFmtId="0" fontId="116" fillId="2" borderId="6" xfId="0" applyFont="1" applyFill="1" applyBorder="1" applyAlignment="1">
      <alignment horizontal="center" vertical="center" wrapText="1"/>
    </xf>
    <xf numFmtId="0" fontId="116" fillId="2" borderId="6" xfId="0" applyFont="1" applyFill="1" applyBorder="1" applyAlignment="1">
      <alignment horizontal="left" vertical="center" wrapText="1"/>
    </xf>
    <xf numFmtId="0" fontId="125" fillId="2" borderId="6" xfId="0" applyFont="1" applyFill="1" applyBorder="1" applyAlignment="1">
      <alignment vertical="center" wrapText="1"/>
    </xf>
    <xf numFmtId="0" fontId="125" fillId="2" borderId="6" xfId="0" applyFont="1" applyFill="1" applyBorder="1" applyAlignment="1">
      <alignment horizontal="center" vertical="center" wrapText="1"/>
    </xf>
    <xf numFmtId="0" fontId="125" fillId="0" borderId="32" xfId="0" applyFont="1" applyBorder="1" applyAlignment="1">
      <alignment horizontal="left" wrapText="1"/>
    </xf>
    <xf numFmtId="0" fontId="116" fillId="2" borderId="0" xfId="0" applyFont="1" applyFill="1" applyAlignment="1">
      <alignment horizontal="left"/>
    </xf>
    <xf numFmtId="0" fontId="116" fillId="2" borderId="0" xfId="0" applyFont="1" applyFill="1"/>
    <xf numFmtId="0" fontId="116" fillId="0" borderId="32" xfId="0" applyFont="1" applyBorder="1" applyAlignment="1">
      <alignment horizontal="left" wrapText="1"/>
    </xf>
    <xf numFmtId="9" fontId="86" fillId="4" borderId="32" xfId="3" applyFont="1" applyFill="1" applyBorder="1"/>
    <xf numFmtId="0" fontId="116" fillId="2" borderId="7" xfId="0" applyFont="1" applyFill="1" applyBorder="1" applyAlignment="1">
      <alignment vertical="center" wrapText="1"/>
    </xf>
    <xf numFmtId="0" fontId="116" fillId="2" borderId="55" xfId="0" applyFont="1" applyFill="1" applyBorder="1" applyAlignment="1">
      <alignment vertical="center" wrapText="1"/>
    </xf>
    <xf numFmtId="0" fontId="116" fillId="2" borderId="56" xfId="0" applyFont="1" applyFill="1" applyBorder="1" applyAlignment="1">
      <alignment vertical="center" wrapText="1"/>
    </xf>
    <xf numFmtId="0" fontId="8" fillId="26" borderId="0" xfId="0" applyFont="1" applyFill="1"/>
    <xf numFmtId="0" fontId="8" fillId="4" borderId="0" xfId="0" applyFont="1" applyFill="1"/>
    <xf numFmtId="0" fontId="15" fillId="23" borderId="0" xfId="0" applyFont="1" applyFill="1" applyAlignment="1">
      <alignment vertical="center"/>
    </xf>
    <xf numFmtId="0" fontId="7" fillId="4" borderId="0" xfId="1" applyFont="1" applyFill="1" applyAlignment="1">
      <alignment horizontal="center" vertical="center"/>
    </xf>
    <xf numFmtId="0" fontId="9" fillId="4" borderId="0" xfId="0" applyFont="1" applyFill="1" applyAlignment="1">
      <alignment horizontal="right" vertical="center"/>
    </xf>
    <xf numFmtId="0" fontId="12" fillId="2" borderId="34" xfId="0" applyFont="1" applyFill="1" applyBorder="1" applyAlignment="1">
      <alignment horizontal="right" vertical="center" wrapText="1"/>
    </xf>
    <xf numFmtId="0" fontId="12" fillId="2" borderId="32" xfId="0" applyFont="1" applyFill="1" applyBorder="1" applyAlignment="1">
      <alignment horizontal="right" vertical="center" wrapText="1"/>
    </xf>
    <xf numFmtId="0" fontId="121" fillId="2" borderId="32" xfId="1" applyFont="1" applyFill="1" applyBorder="1" applyAlignment="1">
      <alignment horizontal="right" vertical="center" wrapText="1"/>
    </xf>
    <xf numFmtId="0" fontId="12" fillId="2" borderId="33" xfId="0" applyFont="1" applyFill="1" applyBorder="1" applyAlignment="1">
      <alignment horizontal="right" vertical="center" wrapText="1"/>
    </xf>
    <xf numFmtId="0" fontId="13" fillId="0" borderId="32" xfId="0" applyFont="1" applyBorder="1" applyAlignment="1">
      <alignment horizontal="right" vertical="center"/>
    </xf>
    <xf numFmtId="0" fontId="13" fillId="0" borderId="32" xfId="0" applyFont="1" applyBorder="1" applyAlignment="1">
      <alignment horizontal="right" vertical="center" wrapText="1"/>
    </xf>
    <xf numFmtId="0" fontId="11" fillId="2" borderId="32" xfId="0" applyFont="1" applyFill="1" applyBorder="1" applyAlignment="1">
      <alignment horizontal="right" vertical="center" wrapText="1"/>
    </xf>
    <xf numFmtId="0" fontId="12" fillId="2" borderId="39" xfId="0" applyFont="1" applyFill="1" applyBorder="1" applyAlignment="1">
      <alignment horizontal="right" vertical="center" wrapText="1"/>
    </xf>
    <xf numFmtId="0" fontId="121" fillId="2" borderId="44" xfId="1" applyFont="1" applyFill="1" applyBorder="1" applyAlignment="1">
      <alignment horizontal="right" vertical="center" wrapText="1"/>
    </xf>
    <xf numFmtId="0" fontId="12" fillId="2" borderId="36" xfId="0" applyFont="1" applyFill="1" applyBorder="1" applyAlignment="1">
      <alignment horizontal="right" vertical="center" wrapText="1"/>
    </xf>
    <xf numFmtId="0" fontId="12" fillId="2" borderId="36" xfId="0" applyFont="1" applyFill="1" applyBorder="1" applyAlignment="1">
      <alignment horizontal="right" vertical="center"/>
    </xf>
    <xf numFmtId="0" fontId="66" fillId="0" borderId="54" xfId="0" applyFont="1" applyBorder="1" applyAlignment="1">
      <alignment vertical="center" wrapText="1"/>
    </xf>
    <xf numFmtId="0" fontId="13" fillId="0" borderId="54" xfId="0" applyFont="1" applyBorder="1" applyAlignment="1">
      <alignment vertical="center" wrapText="1"/>
    </xf>
    <xf numFmtId="0" fontId="13" fillId="0" borderId="54" xfId="0" applyFont="1" applyBorder="1" applyAlignment="1">
      <alignment vertical="center"/>
    </xf>
    <xf numFmtId="0" fontId="13" fillId="0" borderId="55" xfId="0" applyFont="1" applyBorder="1" applyAlignment="1">
      <alignment vertical="center" wrapText="1"/>
    </xf>
    <xf numFmtId="0" fontId="13" fillId="0" borderId="55" xfId="0" applyFont="1" applyBorder="1" applyAlignment="1">
      <alignment vertical="center"/>
    </xf>
    <xf numFmtId="0" fontId="13" fillId="0" borderId="56" xfId="0" applyFont="1" applyBorder="1" applyAlignment="1">
      <alignment vertical="center" wrapText="1"/>
    </xf>
    <xf numFmtId="0" fontId="13" fillId="0" borderId="56" xfId="0" applyFont="1" applyBorder="1" applyAlignment="1">
      <alignment vertical="center"/>
    </xf>
    <xf numFmtId="0" fontId="66" fillId="0" borderId="54" xfId="0" applyFont="1" applyBorder="1" applyAlignment="1">
      <alignment horizontal="left" vertical="center" wrapText="1"/>
    </xf>
    <xf numFmtId="0" fontId="14" fillId="0" borderId="54" xfId="0" applyFont="1" applyBorder="1" applyAlignment="1">
      <alignment horizontal="left" vertical="center" wrapText="1"/>
    </xf>
    <xf numFmtId="0" fontId="12" fillId="0" borderId="54" xfId="0" applyFont="1" applyBorder="1" applyAlignment="1">
      <alignment vertical="center" wrapText="1"/>
    </xf>
    <xf numFmtId="0" fontId="12" fillId="0" borderId="54" xfId="0" applyFont="1" applyBorder="1" applyAlignment="1">
      <alignment vertical="center"/>
    </xf>
    <xf numFmtId="0" fontId="113" fillId="2" borderId="0" xfId="0" applyFont="1" applyFill="1" applyAlignment="1">
      <alignment vertical="center"/>
    </xf>
    <xf numFmtId="0" fontId="13" fillId="2" borderId="57" xfId="0" applyFont="1" applyFill="1" applyBorder="1" applyAlignment="1">
      <alignment vertical="center" wrapText="1"/>
    </xf>
    <xf numFmtId="0" fontId="12" fillId="19" borderId="57" xfId="0" applyFont="1" applyFill="1" applyBorder="1" applyAlignment="1">
      <alignment vertical="center" wrapText="1"/>
    </xf>
    <xf numFmtId="0" fontId="13" fillId="19" borderId="57" xfId="0" applyFont="1" applyFill="1" applyBorder="1" applyAlignment="1">
      <alignment horizontal="left" vertical="center" wrapText="1"/>
    </xf>
    <xf numFmtId="0" fontId="13" fillId="2" borderId="58" xfId="0" applyFont="1" applyFill="1" applyBorder="1" applyAlignment="1">
      <alignment vertical="center"/>
    </xf>
    <xf numFmtId="0" fontId="13" fillId="19" borderId="58" xfId="0" applyFont="1" applyFill="1" applyBorder="1" applyAlignment="1">
      <alignment vertical="center"/>
    </xf>
    <xf numFmtId="0" fontId="13" fillId="2" borderId="59" xfId="0" applyFont="1" applyFill="1" applyBorder="1" applyAlignment="1">
      <alignment vertical="center" wrapText="1"/>
    </xf>
    <xf numFmtId="0" fontId="13" fillId="19" borderId="59" xfId="0" quotePrefix="1" applyFont="1" applyFill="1" applyBorder="1" applyAlignment="1">
      <alignment vertical="center" wrapText="1"/>
    </xf>
    <xf numFmtId="0" fontId="13" fillId="19" borderId="59" xfId="0" quotePrefix="1" applyFont="1" applyFill="1" applyBorder="1" applyAlignment="1">
      <alignment horizontal="left" vertical="center" wrapText="1"/>
    </xf>
    <xf numFmtId="0" fontId="117" fillId="2" borderId="32" xfId="0" applyFont="1" applyFill="1" applyBorder="1"/>
    <xf numFmtId="0" fontId="117" fillId="0" borderId="32" xfId="0" applyFont="1" applyBorder="1"/>
    <xf numFmtId="0" fontId="66" fillId="0" borderId="60" xfId="0" applyFont="1" applyBorder="1" applyAlignment="1">
      <alignment vertical="center" wrapText="1"/>
    </xf>
    <xf numFmtId="0" fontId="13" fillId="0" borderId="60" xfId="0" applyFont="1" applyBorder="1" applyAlignment="1">
      <alignment vertical="center"/>
    </xf>
    <xf numFmtId="0" fontId="13" fillId="0" borderId="60" xfId="0" applyFont="1" applyBorder="1" applyAlignment="1">
      <alignment horizontal="center" vertical="center" wrapText="1"/>
    </xf>
    <xf numFmtId="166" fontId="13" fillId="0" borderId="60" xfId="2" applyNumberFormat="1" applyFont="1" applyFill="1" applyBorder="1" applyAlignment="1">
      <alignment horizontal="right" vertical="center"/>
    </xf>
    <xf numFmtId="9" fontId="13" fillId="0" borderId="60" xfId="3" applyFont="1" applyBorder="1" applyAlignment="1">
      <alignment horizontal="right" vertical="center"/>
    </xf>
    <xf numFmtId="9" fontId="113" fillId="0" borderId="60" xfId="3" applyFont="1" applyFill="1" applyBorder="1" applyAlignment="1">
      <alignment vertical="center"/>
    </xf>
    <xf numFmtId="9" fontId="113" fillId="0" borderId="60" xfId="3" applyFont="1" applyBorder="1" applyAlignment="1">
      <alignment vertical="center"/>
    </xf>
    <xf numFmtId="9" fontId="13" fillId="0" borderId="60" xfId="3" applyFont="1" applyFill="1" applyBorder="1" applyAlignment="1">
      <alignment horizontal="right" vertical="center"/>
    </xf>
    <xf numFmtId="0" fontId="66" fillId="0" borderId="54" xfId="0" applyFont="1" applyBorder="1" applyAlignment="1">
      <alignment vertical="center"/>
    </xf>
    <xf numFmtId="0" fontId="13" fillId="0" borderId="60" xfId="0" applyFont="1" applyBorder="1" applyAlignment="1">
      <alignment horizontal="right" vertical="center"/>
    </xf>
    <xf numFmtId="0" fontId="11" fillId="0" borderId="60" xfId="0" applyFont="1" applyBorder="1" applyAlignment="1">
      <alignment horizontal="center" vertical="center" wrapText="1"/>
    </xf>
    <xf numFmtId="0" fontId="152" fillId="0" borderId="60" xfId="0" applyFont="1" applyBorder="1" applyAlignment="1">
      <alignment vertical="center" wrapText="1"/>
    </xf>
    <xf numFmtId="0" fontId="13" fillId="2" borderId="0" xfId="0" applyFont="1" applyFill="1" applyAlignment="1">
      <alignment horizontal="right" vertical="center"/>
    </xf>
    <xf numFmtId="0" fontId="102" fillId="4" borderId="0" xfId="0" applyFont="1" applyFill="1" applyAlignment="1">
      <alignment horizontal="left" vertical="top" indent="1"/>
    </xf>
    <xf numFmtId="0" fontId="12" fillId="4" borderId="0" xfId="0" applyFont="1" applyFill="1" applyAlignment="1">
      <alignment horizontal="left" vertical="top" wrapText="1" indent="1"/>
    </xf>
    <xf numFmtId="0" fontId="8" fillId="2" borderId="0" xfId="0" applyFont="1" applyFill="1" applyAlignment="1">
      <alignment horizontal="left" indent="1"/>
    </xf>
    <xf numFmtId="0" fontId="12" fillId="4" borderId="0" xfId="0" applyFont="1" applyFill="1" applyAlignment="1">
      <alignment horizontal="left" vertical="top" indent="1"/>
    </xf>
    <xf numFmtId="0" fontId="8" fillId="4" borderId="0" xfId="0" applyFont="1" applyFill="1" applyAlignment="1">
      <alignment horizontal="left" indent="1"/>
    </xf>
    <xf numFmtId="0" fontId="12" fillId="2" borderId="58" xfId="0" applyFont="1" applyFill="1" applyBorder="1" applyAlignment="1">
      <alignment horizontal="right" vertical="center" wrapText="1"/>
    </xf>
    <xf numFmtId="0" fontId="12" fillId="19" borderId="32" xfId="0" applyFont="1" applyFill="1" applyBorder="1" applyAlignment="1">
      <alignment horizontal="right" vertical="center"/>
    </xf>
    <xf numFmtId="0" fontId="12" fillId="2" borderId="59" xfId="0" applyFont="1" applyFill="1" applyBorder="1" applyAlignment="1">
      <alignment horizontal="right" vertical="center" wrapText="1"/>
    </xf>
    <xf numFmtId="0" fontId="154" fillId="0" borderId="57" xfId="1" applyFont="1" applyBorder="1" applyAlignment="1">
      <alignment horizontal="right" vertical="center" wrapText="1"/>
    </xf>
    <xf numFmtId="0" fontId="12" fillId="2" borderId="50" xfId="0" applyFont="1" applyFill="1" applyBorder="1" applyAlignment="1">
      <alignment horizontal="right" vertical="center" wrapText="1"/>
    </xf>
    <xf numFmtId="0" fontId="12" fillId="2" borderId="53" xfId="0" applyFont="1" applyFill="1" applyBorder="1" applyAlignment="1">
      <alignment horizontal="right" vertical="center"/>
    </xf>
    <xf numFmtId="0" fontId="154" fillId="2" borderId="34" xfId="1" applyFont="1" applyFill="1" applyBorder="1" applyAlignment="1">
      <alignment horizontal="right" vertical="center" wrapText="1"/>
    </xf>
    <xf numFmtId="0" fontId="12" fillId="2" borderId="35" xfId="0" applyFont="1" applyFill="1" applyBorder="1" applyAlignment="1">
      <alignment horizontal="right" vertical="center" wrapText="1"/>
    </xf>
    <xf numFmtId="0" fontId="12" fillId="2" borderId="52" xfId="0" applyFont="1" applyFill="1" applyBorder="1" applyAlignment="1">
      <alignment horizontal="right" vertical="center"/>
    </xf>
    <xf numFmtId="0" fontId="66" fillId="4" borderId="57" xfId="0" applyFont="1" applyFill="1" applyBorder="1" applyAlignment="1">
      <alignment vertical="center"/>
    </xf>
    <xf numFmtId="0" fontId="66" fillId="4" borderId="50" xfId="0" applyFont="1" applyFill="1" applyBorder="1" applyAlignment="1">
      <alignment vertical="center"/>
    </xf>
    <xf numFmtId="0" fontId="83" fillId="10" borderId="32" xfId="0" applyFont="1" applyFill="1" applyBorder="1" applyAlignment="1">
      <alignment vertical="center"/>
    </xf>
    <xf numFmtId="0" fontId="83" fillId="8" borderId="32" xfId="0" applyFont="1" applyFill="1" applyBorder="1" applyAlignment="1">
      <alignment vertical="center"/>
    </xf>
    <xf numFmtId="0" fontId="52" fillId="8" borderId="32" xfId="2" applyNumberFormat="1" applyFont="1" applyFill="1" applyBorder="1" applyAlignment="1">
      <alignment horizontal="right" vertical="center"/>
    </xf>
    <xf numFmtId="9" fontId="87" fillId="4" borderId="32" xfId="0" applyNumberFormat="1" applyFont="1" applyFill="1" applyBorder="1" applyAlignment="1">
      <alignment horizontal="right" vertical="center"/>
    </xf>
    <xf numFmtId="9" fontId="87" fillId="2" borderId="0" xfId="0" applyNumberFormat="1" applyFont="1" applyFill="1" applyAlignment="1">
      <alignment horizontal="right" vertical="center"/>
    </xf>
    <xf numFmtId="166" fontId="86" fillId="4" borderId="32" xfId="0" applyNumberFormat="1" applyFont="1" applyFill="1" applyBorder="1" applyAlignment="1">
      <alignment horizontal="right" vertical="center"/>
    </xf>
    <xf numFmtId="0" fontId="86" fillId="4" borderId="32" xfId="0" applyFont="1" applyFill="1" applyBorder="1" applyAlignment="1">
      <alignment horizontal="right" vertical="center"/>
    </xf>
    <xf numFmtId="9" fontId="10" fillId="2" borderId="0" xfId="3" applyFont="1" applyFill="1" applyAlignment="1">
      <alignment horizontal="right" vertical="center"/>
    </xf>
    <xf numFmtId="3" fontId="52" fillId="8" borderId="32" xfId="0" applyNumberFormat="1" applyFont="1" applyFill="1" applyBorder="1" applyAlignment="1">
      <alignment horizontal="right" vertical="center" wrapText="1"/>
    </xf>
    <xf numFmtId="3" fontId="10" fillId="4" borderId="32" xfId="0" applyNumberFormat="1" applyFont="1" applyFill="1" applyBorder="1" applyAlignment="1">
      <alignment horizontal="right" vertical="center" wrapText="1"/>
    </xf>
    <xf numFmtId="0" fontId="30" fillId="5" borderId="0" xfId="0" applyFont="1" applyFill="1" applyAlignment="1">
      <alignment horizontal="right" vertical="center"/>
    </xf>
    <xf numFmtId="164" fontId="116" fillId="4" borderId="32" xfId="3" applyNumberFormat="1" applyFont="1" applyFill="1" applyBorder="1" applyAlignment="1">
      <alignment horizontal="right" vertical="center"/>
    </xf>
    <xf numFmtId="3" fontId="117" fillId="0" borderId="32" xfId="0" applyNumberFormat="1" applyFont="1" applyBorder="1" applyAlignment="1">
      <alignment horizontal="right" vertical="center"/>
    </xf>
    <xf numFmtId="164" fontId="87" fillId="4" borderId="32" xfId="3" applyNumberFormat="1" applyFont="1" applyFill="1" applyBorder="1" applyAlignment="1">
      <alignment horizontal="right" vertical="center"/>
    </xf>
    <xf numFmtId="3" fontId="116" fillId="0" borderId="32" xfId="0" applyNumberFormat="1" applyFont="1" applyBorder="1" applyAlignment="1">
      <alignment horizontal="right" vertical="center"/>
    </xf>
    <xf numFmtId="0" fontId="116" fillId="2" borderId="0" xfId="0" applyFont="1" applyFill="1" applyAlignment="1">
      <alignment horizontal="right" vertical="center"/>
    </xf>
    <xf numFmtId="164" fontId="116" fillId="2" borderId="0" xfId="3" applyNumberFormat="1" applyFont="1" applyFill="1" applyBorder="1" applyAlignment="1">
      <alignment horizontal="right" vertical="center"/>
    </xf>
    <xf numFmtId="2" fontId="116" fillId="2" borderId="0" xfId="0" applyNumberFormat="1" applyFont="1" applyFill="1" applyAlignment="1">
      <alignment horizontal="right" vertical="center"/>
    </xf>
    <xf numFmtId="2" fontId="116" fillId="2" borderId="0" xfId="3" applyNumberFormat="1" applyFont="1" applyFill="1" applyBorder="1" applyAlignment="1">
      <alignment horizontal="right" vertical="center"/>
    </xf>
    <xf numFmtId="0" fontId="125" fillId="0" borderId="32" xfId="0" applyFont="1" applyBorder="1" applyAlignment="1">
      <alignment horizontal="right" vertical="center"/>
    </xf>
    <xf numFmtId="2" fontId="116" fillId="2" borderId="0" xfId="3" applyNumberFormat="1" applyFont="1" applyFill="1" applyAlignment="1">
      <alignment horizontal="right" vertical="center"/>
    </xf>
    <xf numFmtId="9" fontId="125" fillId="0" borderId="32" xfId="3" applyFont="1" applyBorder="1" applyAlignment="1">
      <alignment horizontal="right" vertical="center"/>
    </xf>
    <xf numFmtId="164" fontId="116" fillId="2" borderId="0" xfId="3" applyNumberFormat="1" applyFont="1" applyFill="1" applyAlignment="1">
      <alignment horizontal="right" vertical="center"/>
    </xf>
    <xf numFmtId="9" fontId="125" fillId="2" borderId="0" xfId="3" applyFont="1" applyFill="1" applyBorder="1" applyAlignment="1">
      <alignment horizontal="right" vertical="center"/>
    </xf>
    <xf numFmtId="0" fontId="116" fillId="4" borderId="32" xfId="0" applyFont="1" applyFill="1" applyBorder="1" applyAlignment="1">
      <alignment horizontal="right" vertical="center"/>
    </xf>
    <xf numFmtId="0" fontId="8" fillId="2" borderId="0" xfId="0" applyFont="1" applyFill="1" applyAlignment="1">
      <alignment horizontal="right" vertical="center"/>
    </xf>
    <xf numFmtId="9" fontId="116" fillId="4" borderId="32" xfId="3" applyFont="1" applyFill="1" applyBorder="1" applyAlignment="1">
      <alignment horizontal="right" vertical="center"/>
    </xf>
    <xf numFmtId="164" fontId="87" fillId="2" borderId="0" xfId="3" applyNumberFormat="1" applyFont="1" applyFill="1" applyBorder="1" applyAlignment="1">
      <alignment horizontal="right" vertical="center"/>
    </xf>
    <xf numFmtId="166" fontId="116" fillId="2" borderId="32" xfId="0" applyNumberFormat="1" applyFont="1" applyFill="1" applyBorder="1" applyAlignment="1">
      <alignment horizontal="right" vertical="center"/>
    </xf>
    <xf numFmtId="170" fontId="117" fillId="0" borderId="32" xfId="0" applyNumberFormat="1" applyFont="1" applyBorder="1" applyAlignment="1">
      <alignment horizontal="right" vertical="center"/>
    </xf>
    <xf numFmtId="9" fontId="128" fillId="0" borderId="32" xfId="0" applyNumberFormat="1" applyFont="1" applyBorder="1" applyAlignment="1">
      <alignment horizontal="right" vertical="center"/>
    </xf>
    <xf numFmtId="9" fontId="128" fillId="0" borderId="32" xfId="3" applyFont="1" applyFill="1" applyBorder="1" applyAlignment="1">
      <alignment horizontal="right" vertical="center"/>
    </xf>
    <xf numFmtId="9" fontId="7" fillId="2" borderId="0" xfId="3" applyFont="1" applyFill="1" applyAlignment="1">
      <alignment horizontal="right" vertical="center"/>
    </xf>
    <xf numFmtId="0" fontId="7" fillId="2" borderId="0" xfId="0" applyFont="1" applyFill="1" applyAlignment="1">
      <alignment horizontal="right" vertical="center"/>
    </xf>
    <xf numFmtId="164" fontId="8" fillId="2" borderId="0" xfId="3" applyNumberFormat="1" applyFont="1" applyFill="1" applyBorder="1" applyAlignment="1">
      <alignment horizontal="right" vertical="center"/>
    </xf>
    <xf numFmtId="0" fontId="52" fillId="10" borderId="32" xfId="0" applyFont="1" applyFill="1" applyBorder="1" applyAlignment="1">
      <alignment horizontal="right" vertical="center" wrapText="1"/>
    </xf>
    <xf numFmtId="0" fontId="35" fillId="5" borderId="0" xfId="0" applyFont="1" applyFill="1" applyAlignment="1">
      <alignment horizontal="right" vertical="center" wrapText="1"/>
    </xf>
    <xf numFmtId="0" fontId="10" fillId="23" borderId="32" xfId="0" applyFont="1" applyFill="1" applyBorder="1" applyAlignment="1">
      <alignment horizontal="right" vertical="center" wrapText="1"/>
    </xf>
    <xf numFmtId="0" fontId="7" fillId="5" borderId="32" xfId="0" applyFont="1" applyFill="1" applyBorder="1" applyAlignment="1">
      <alignment horizontal="right" vertical="center"/>
    </xf>
    <xf numFmtId="0" fontId="7" fillId="23" borderId="32" xfId="0" applyFont="1" applyFill="1" applyBorder="1" applyAlignment="1">
      <alignment horizontal="right" vertical="center"/>
    </xf>
    <xf numFmtId="10" fontId="117" fillId="4" borderId="32" xfId="0" applyNumberFormat="1" applyFont="1" applyFill="1" applyBorder="1" applyAlignment="1">
      <alignment horizontal="right" vertical="center"/>
    </xf>
    <xf numFmtId="10" fontId="7" fillId="2" borderId="0" xfId="0" applyNumberFormat="1" applyFont="1" applyFill="1" applyAlignment="1">
      <alignment horizontal="right" vertical="center"/>
    </xf>
    <xf numFmtId="168" fontId="111" fillId="5" borderId="0" xfId="0" applyNumberFormat="1" applyFont="1" applyFill="1" applyAlignment="1">
      <alignment horizontal="right" vertical="center"/>
    </xf>
    <xf numFmtId="3" fontId="10" fillId="4" borderId="32" xfId="0" applyNumberFormat="1" applyFont="1" applyFill="1" applyBorder="1" applyAlignment="1">
      <alignment horizontal="right" vertical="center"/>
    </xf>
    <xf numFmtId="3" fontId="7" fillId="0" borderId="32" xfId="0" applyNumberFormat="1" applyFont="1" applyBorder="1" applyAlignment="1">
      <alignment horizontal="right" vertical="center"/>
    </xf>
    <xf numFmtId="170" fontId="7" fillId="0" borderId="32" xfId="0" applyNumberFormat="1" applyFont="1" applyBorder="1" applyAlignment="1">
      <alignment horizontal="right" vertical="center"/>
    </xf>
    <xf numFmtId="164" fontId="8" fillId="4" borderId="32" xfId="3" applyNumberFormat="1" applyFont="1" applyFill="1" applyBorder="1" applyAlignment="1">
      <alignment horizontal="right" vertical="center"/>
    </xf>
    <xf numFmtId="0" fontId="8" fillId="2" borderId="32" xfId="0" applyFont="1" applyFill="1" applyBorder="1" applyAlignment="1">
      <alignment horizontal="right" vertical="center"/>
    </xf>
    <xf numFmtId="0" fontId="8" fillId="4" borderId="32" xfId="0" applyFont="1" applyFill="1" applyBorder="1" applyAlignment="1">
      <alignment horizontal="right" vertical="center"/>
    </xf>
    <xf numFmtId="3" fontId="128" fillId="4" borderId="32" xfId="0" applyNumberFormat="1" applyFont="1" applyFill="1" applyBorder="1" applyAlignment="1">
      <alignment horizontal="right" vertical="center"/>
    </xf>
    <xf numFmtId="3" fontId="52" fillId="4" borderId="32" xfId="0" applyNumberFormat="1" applyFont="1" applyFill="1" applyBorder="1" applyAlignment="1">
      <alignment horizontal="right" vertical="center"/>
    </xf>
    <xf numFmtId="0" fontId="81" fillId="10" borderId="32" xfId="0" applyFont="1" applyFill="1" applyBorder="1" applyAlignment="1">
      <alignment horizontal="right" vertical="center" wrapText="1"/>
    </xf>
    <xf numFmtId="0" fontId="52" fillId="8" borderId="32" xfId="0" applyFont="1" applyFill="1" applyBorder="1" applyAlignment="1">
      <alignment horizontal="right" vertical="center" wrapText="1"/>
    </xf>
    <xf numFmtId="3" fontId="7" fillId="0" borderId="32" xfId="0" applyNumberFormat="1" applyFont="1" applyBorder="1" applyAlignment="1">
      <alignment horizontal="right" vertical="center" wrapText="1"/>
    </xf>
    <xf numFmtId="171" fontId="116" fillId="5" borderId="32" xfId="0" applyNumberFormat="1" applyFont="1" applyFill="1" applyBorder="1" applyAlignment="1">
      <alignment horizontal="right" vertical="center"/>
    </xf>
    <xf numFmtId="0" fontId="52" fillId="10" borderId="32" xfId="0" applyFont="1" applyFill="1" applyBorder="1" applyAlignment="1">
      <alignment horizontal="left" vertical="center" wrapText="1"/>
    </xf>
    <xf numFmtId="0" fontId="117" fillId="5" borderId="32" xfId="0" applyFont="1" applyFill="1" applyBorder="1" applyAlignment="1">
      <alignment horizontal="left" vertical="center" wrapText="1"/>
    </xf>
    <xf numFmtId="0" fontId="128" fillId="5" borderId="32" xfId="0" applyFont="1" applyFill="1" applyBorder="1" applyAlignment="1">
      <alignment horizontal="left" vertical="center" wrapText="1"/>
    </xf>
    <xf numFmtId="0" fontId="10" fillId="5" borderId="32" xfId="0" applyFont="1" applyFill="1" applyBorder="1" applyAlignment="1">
      <alignment horizontal="left" vertical="center" wrapText="1"/>
    </xf>
    <xf numFmtId="0" fontId="45" fillId="2" borderId="0" xfId="0" applyFont="1" applyFill="1" applyAlignment="1">
      <alignment horizontal="left" vertical="center"/>
    </xf>
    <xf numFmtId="0" fontId="127" fillId="0" borderId="32" xfId="0" applyFont="1" applyBorder="1" applyAlignment="1">
      <alignment horizontal="left" vertical="center" wrapText="1"/>
    </xf>
    <xf numFmtId="0" fontId="30" fillId="5" borderId="0" xfId="0" applyFont="1" applyFill="1" applyAlignment="1">
      <alignment horizontal="left" vertical="center"/>
    </xf>
    <xf numFmtId="0" fontId="22" fillId="0" borderId="32" xfId="0" applyFont="1" applyBorder="1" applyAlignment="1">
      <alignment horizontal="left" vertical="center" wrapText="1"/>
    </xf>
    <xf numFmtId="0" fontId="30" fillId="5" borderId="0" xfId="0" applyFont="1" applyFill="1" applyAlignment="1">
      <alignment horizontal="left" vertical="center" wrapText="1"/>
    </xf>
    <xf numFmtId="0" fontId="52" fillId="8" borderId="32" xfId="0" applyFont="1" applyFill="1" applyBorder="1" applyAlignment="1">
      <alignment horizontal="left" vertical="center"/>
    </xf>
    <xf numFmtId="0" fontId="7" fillId="5" borderId="32" xfId="0" applyFont="1" applyFill="1" applyBorder="1" applyAlignment="1">
      <alignment horizontal="left" vertical="center"/>
    </xf>
    <xf numFmtId="0" fontId="126" fillId="5" borderId="32" xfId="0" applyFont="1" applyFill="1" applyBorder="1" applyAlignment="1">
      <alignment horizontal="left" vertical="center"/>
    </xf>
    <xf numFmtId="0" fontId="126" fillId="0" borderId="32" xfId="0" applyFont="1" applyBorder="1" applyAlignment="1">
      <alignment horizontal="left" vertical="center"/>
    </xf>
    <xf numFmtId="0" fontId="8" fillId="2" borderId="32" xfId="0" applyFont="1" applyFill="1" applyBorder="1" applyAlignment="1">
      <alignment horizontal="left" vertical="center"/>
    </xf>
    <xf numFmtId="0" fontId="7" fillId="2" borderId="1" xfId="0" applyFont="1" applyFill="1" applyBorder="1" applyAlignment="1">
      <alignment horizontal="left" vertical="center" wrapText="1"/>
    </xf>
    <xf numFmtId="0" fontId="21" fillId="4" borderId="32" xfId="0" applyFont="1" applyFill="1" applyBorder="1" applyAlignment="1">
      <alignment horizontal="left" vertical="center"/>
    </xf>
    <xf numFmtId="0" fontId="21" fillId="2" borderId="32" xfId="0" applyFont="1" applyFill="1" applyBorder="1" applyAlignment="1">
      <alignment horizontal="left" vertical="center"/>
    </xf>
    <xf numFmtId="0" fontId="29" fillId="0" borderId="32" xfId="0" applyFont="1" applyBorder="1" applyAlignment="1">
      <alignment horizontal="left" vertical="center"/>
    </xf>
    <xf numFmtId="0" fontId="21" fillId="2" borderId="0" xfId="0" applyFont="1" applyFill="1" applyAlignment="1">
      <alignment horizontal="left" vertical="center"/>
    </xf>
    <xf numFmtId="0" fontId="21" fillId="0" borderId="32" xfId="0" applyFont="1" applyBorder="1" applyAlignment="1">
      <alignment horizontal="left" vertical="center"/>
    </xf>
    <xf numFmtId="0" fontId="10" fillId="0" borderId="32" xfId="0" applyFont="1" applyBorder="1" applyAlignment="1">
      <alignment horizontal="left" vertical="center"/>
    </xf>
    <xf numFmtId="0" fontId="10" fillId="2" borderId="0" xfId="0" applyFont="1" applyFill="1" applyAlignment="1">
      <alignment horizontal="left" vertical="center" wrapText="1"/>
    </xf>
    <xf numFmtId="0" fontId="10" fillId="4" borderId="32" xfId="0" applyFont="1" applyFill="1" applyBorder="1" applyAlignment="1">
      <alignment horizontal="left" vertical="center"/>
    </xf>
    <xf numFmtId="0" fontId="52" fillId="2" borderId="0" xfId="0" applyFont="1" applyFill="1" applyAlignment="1">
      <alignment horizontal="left" vertical="center" wrapText="1"/>
    </xf>
    <xf numFmtId="0" fontId="10" fillId="4" borderId="7" xfId="0" applyFont="1" applyFill="1" applyBorder="1" applyAlignment="1">
      <alignment horizontal="left" vertical="center"/>
    </xf>
    <xf numFmtId="9" fontId="86" fillId="4" borderId="32" xfId="3" applyFont="1" applyFill="1" applyBorder="1" applyAlignment="1">
      <alignment horizontal="right"/>
    </xf>
    <xf numFmtId="6" fontId="126" fillId="0" borderId="32" xfId="0" applyNumberFormat="1" applyFont="1" applyBorder="1" applyAlignment="1">
      <alignment horizontal="left" wrapText="1"/>
    </xf>
    <xf numFmtId="6" fontId="127" fillId="0" borderId="32" xfId="0" applyNumberFormat="1" applyFont="1" applyBorder="1" applyAlignment="1">
      <alignment horizontal="left" wrapText="1"/>
    </xf>
    <xf numFmtId="166" fontId="116" fillId="2" borderId="0" xfId="2" applyNumberFormat="1" applyFont="1" applyFill="1" applyBorder="1" applyAlignment="1">
      <alignment horizontal="left"/>
    </xf>
    <xf numFmtId="0" fontId="155" fillId="0" borderId="32" xfId="0" applyFont="1" applyBorder="1" applyAlignment="1">
      <alignment horizontal="left" wrapText="1"/>
    </xf>
    <xf numFmtId="0" fontId="156" fillId="2" borderId="32" xfId="0" applyFont="1" applyFill="1" applyBorder="1" applyAlignment="1">
      <alignment horizontal="left"/>
    </xf>
    <xf numFmtId="166" fontId="157" fillId="2" borderId="0" xfId="2" applyNumberFormat="1" applyFont="1" applyFill="1" applyBorder="1" applyAlignment="1">
      <alignment horizontal="left"/>
    </xf>
    <xf numFmtId="0" fontId="116" fillId="0" borderId="32" xfId="0" applyFont="1" applyBorder="1" applyAlignment="1">
      <alignment wrapText="1"/>
    </xf>
    <xf numFmtId="0" fontId="116" fillId="0" borderId="32" xfId="0" applyFont="1" applyBorder="1" applyAlignment="1">
      <alignment vertical="top" wrapText="1"/>
    </xf>
    <xf numFmtId="0" fontId="116" fillId="0" borderId="32" xfId="0" applyFont="1" applyBorder="1" applyAlignment="1">
      <alignment horizontal="left" vertical="top" wrapText="1"/>
    </xf>
    <xf numFmtId="0" fontId="86" fillId="4" borderId="32" xfId="0" applyFont="1" applyFill="1" applyBorder="1"/>
    <xf numFmtId="1" fontId="86" fillId="4" borderId="32" xfId="0" applyNumberFormat="1" applyFont="1" applyFill="1" applyBorder="1" applyAlignment="1">
      <alignment wrapText="1"/>
    </xf>
    <xf numFmtId="3" fontId="87" fillId="4" borderId="32" xfId="0" applyNumberFormat="1" applyFont="1" applyFill="1" applyBorder="1" applyAlignment="1">
      <alignment wrapText="1"/>
    </xf>
    <xf numFmtId="166" fontId="116" fillId="2" borderId="0" xfId="2" applyNumberFormat="1" applyFont="1" applyFill="1" applyBorder="1" applyAlignment="1"/>
    <xf numFmtId="3" fontId="86" fillId="4" borderId="32" xfId="0" applyNumberFormat="1" applyFont="1" applyFill="1" applyBorder="1" applyAlignment="1">
      <alignment wrapText="1"/>
    </xf>
    <xf numFmtId="0" fontId="126" fillId="0" borderId="32" xfId="0" applyFont="1" applyBorder="1" applyAlignment="1">
      <alignment wrapText="1"/>
    </xf>
    <xf numFmtId="3" fontId="128" fillId="0" borderId="32" xfId="0" applyNumberFormat="1" applyFont="1" applyBorder="1" applyAlignment="1">
      <alignment wrapText="1"/>
    </xf>
    <xf numFmtId="166" fontId="117" fillId="2" borderId="0" xfId="2" applyNumberFormat="1" applyFont="1" applyFill="1" applyBorder="1" applyAlignment="1"/>
    <xf numFmtId="3" fontId="117" fillId="0" borderId="32" xfId="0" applyNumberFormat="1" applyFont="1" applyBorder="1" applyAlignment="1">
      <alignment wrapText="1"/>
    </xf>
    <xf numFmtId="3" fontId="116" fillId="0" borderId="32" xfId="0" applyNumberFormat="1" applyFont="1" applyBorder="1" applyAlignment="1">
      <alignment wrapText="1"/>
    </xf>
    <xf numFmtId="0" fontId="117" fillId="2" borderId="0" xfId="0" applyFont="1" applyFill="1"/>
    <xf numFmtId="3" fontId="117" fillId="0" borderId="32" xfId="0" applyNumberFormat="1" applyFont="1" applyBorder="1"/>
    <xf numFmtId="9" fontId="87" fillId="4" borderId="32" xfId="3" applyFont="1" applyFill="1" applyBorder="1" applyAlignment="1">
      <alignment horizontal="right"/>
    </xf>
    <xf numFmtId="9" fontId="126" fillId="0" borderId="32" xfId="0" applyNumberFormat="1" applyFont="1" applyBorder="1" applyAlignment="1">
      <alignment horizontal="right" wrapText="1"/>
    </xf>
    <xf numFmtId="164" fontId="126" fillId="0" borderId="32" xfId="0" applyNumberFormat="1" applyFont="1" applyBorder="1" applyAlignment="1">
      <alignment horizontal="right" wrapText="1"/>
    </xf>
    <xf numFmtId="0" fontId="116" fillId="2" borderId="0" xfId="0" applyFont="1" applyFill="1" applyAlignment="1">
      <alignment horizontal="right"/>
    </xf>
    <xf numFmtId="1" fontId="126" fillId="0" borderId="32" xfId="0" applyNumberFormat="1" applyFont="1" applyBorder="1" applyAlignment="1">
      <alignment horizontal="right" wrapText="1"/>
    </xf>
    <xf numFmtId="164" fontId="37" fillId="4" borderId="32" xfId="3" applyNumberFormat="1" applyFont="1" applyFill="1" applyBorder="1" applyAlignment="1">
      <alignment horizontal="right" vertical="center"/>
    </xf>
    <xf numFmtId="164" fontId="67" fillId="4" borderId="32" xfId="3" applyNumberFormat="1" applyFont="1" applyFill="1" applyBorder="1" applyAlignment="1">
      <alignment horizontal="right" vertical="center"/>
    </xf>
    <xf numFmtId="164" fontId="46" fillId="4" borderId="32" xfId="3" applyNumberFormat="1" applyFont="1" applyFill="1" applyBorder="1" applyAlignment="1">
      <alignment horizontal="right" vertical="center"/>
    </xf>
    <xf numFmtId="0" fontId="46" fillId="2" borderId="0" xfId="0" applyFont="1" applyFill="1" applyAlignment="1">
      <alignment vertical="center"/>
    </xf>
    <xf numFmtId="9" fontId="117" fillId="4" borderId="32" xfId="0" applyNumberFormat="1" applyFont="1" applyFill="1" applyBorder="1" applyAlignment="1">
      <alignment horizontal="right" vertical="center"/>
    </xf>
    <xf numFmtId="0" fontId="0" fillId="0" borderId="0" xfId="0" applyAlignment="1">
      <alignment horizontal="right" vertical="center" wrapText="1"/>
    </xf>
    <xf numFmtId="0" fontId="125" fillId="12" borderId="59" xfId="0" applyFont="1" applyFill="1" applyBorder="1" applyAlignment="1">
      <alignment horizontal="left" vertical="center" wrapText="1"/>
    </xf>
    <xf numFmtId="0" fontId="13" fillId="0" borderId="59" xfId="0" applyFont="1" applyBorder="1" applyAlignment="1">
      <alignment vertical="center" wrapText="1"/>
    </xf>
    <xf numFmtId="0" fontId="12" fillId="0" borderId="59" xfId="0" applyFont="1" applyBorder="1" applyAlignment="1">
      <alignment vertical="center"/>
    </xf>
    <xf numFmtId="0" fontId="12" fillId="0" borderId="59" xfId="0" applyFont="1" applyBorder="1" applyAlignment="1">
      <alignment vertical="center" wrapText="1"/>
    </xf>
    <xf numFmtId="0" fontId="146" fillId="0" borderId="29" xfId="0" applyFont="1" applyBorder="1" applyAlignment="1">
      <alignment horizontal="right" vertical="center" wrapText="1"/>
    </xf>
    <xf numFmtId="0" fontId="12" fillId="0" borderId="59" xfId="0" applyFont="1" applyBorder="1" applyAlignment="1">
      <alignment horizontal="right" vertical="center" wrapText="1"/>
    </xf>
    <xf numFmtId="0" fontId="12" fillId="2" borderId="63" xfId="0" applyFont="1" applyFill="1" applyBorder="1" applyAlignment="1">
      <alignment horizontal="right" vertical="center"/>
    </xf>
    <xf numFmtId="0" fontId="13" fillId="0" borderId="59" xfId="0" applyFont="1" applyBorder="1" applyAlignment="1">
      <alignment horizontal="left" vertical="center" wrapText="1"/>
    </xf>
    <xf numFmtId="0" fontId="121" fillId="2" borderId="59" xfId="1" applyFont="1" applyFill="1" applyBorder="1" applyAlignment="1">
      <alignment horizontal="right" vertical="center" wrapText="1"/>
    </xf>
    <xf numFmtId="0" fontId="66" fillId="14" borderId="58" xfId="0" applyFont="1" applyFill="1" applyBorder="1" applyAlignment="1">
      <alignment vertical="center" wrapText="1"/>
    </xf>
    <xf numFmtId="0" fontId="66" fillId="14" borderId="58" xfId="0" applyFont="1" applyFill="1" applyBorder="1" applyAlignment="1">
      <alignment horizontal="right" vertical="center" wrapText="1"/>
    </xf>
    <xf numFmtId="0" fontId="12" fillId="0" borderId="59" xfId="0" applyFont="1" applyBorder="1" applyAlignment="1">
      <alignment horizontal="right" vertical="center"/>
    </xf>
    <xf numFmtId="0" fontId="12" fillId="2" borderId="59" xfId="0" applyFont="1" applyFill="1" applyBorder="1" applyAlignment="1">
      <alignment horizontal="right" vertical="center"/>
    </xf>
    <xf numFmtId="0" fontId="12" fillId="0" borderId="59" xfId="0" applyFont="1" applyBorder="1" applyAlignment="1">
      <alignment horizontal="left" vertical="center" wrapText="1"/>
    </xf>
    <xf numFmtId="0" fontId="72" fillId="12" borderId="32" xfId="0" applyFont="1" applyFill="1" applyBorder="1" applyAlignment="1">
      <alignment vertical="center" wrapText="1"/>
    </xf>
    <xf numFmtId="0" fontId="72" fillId="19" borderId="41" xfId="0" applyFont="1" applyFill="1" applyBorder="1" applyAlignment="1">
      <alignment horizontal="left" vertical="center" wrapText="1"/>
    </xf>
    <xf numFmtId="0" fontId="13" fillId="19" borderId="33" xfId="0" applyFont="1" applyFill="1" applyBorder="1" applyAlignment="1">
      <alignment vertical="center" wrapText="1"/>
    </xf>
    <xf numFmtId="0" fontId="12" fillId="19" borderId="33" xfId="0" applyFont="1" applyFill="1" applyBorder="1" applyAlignment="1">
      <alignment vertical="center"/>
    </xf>
    <xf numFmtId="0" fontId="12" fillId="29" borderId="59" xfId="0" applyFont="1" applyFill="1" applyBorder="1" applyAlignment="1">
      <alignment vertical="center"/>
    </xf>
    <xf numFmtId="0" fontId="13" fillId="0" borderId="59" xfId="0" applyFont="1" applyBorder="1" applyAlignment="1">
      <alignment horizontal="right" vertical="center" wrapText="1"/>
    </xf>
    <xf numFmtId="0" fontId="145" fillId="13" borderId="39" xfId="0" applyFont="1" applyFill="1" applyBorder="1" applyAlignment="1">
      <alignment vertical="center"/>
    </xf>
    <xf numFmtId="0" fontId="80" fillId="32" borderId="62" xfId="0" applyFont="1" applyFill="1" applyBorder="1" applyAlignment="1">
      <alignment horizontal="left" vertical="center" wrapText="1"/>
    </xf>
    <xf numFmtId="0" fontId="128" fillId="12" borderId="66" xfId="0" applyFont="1" applyFill="1" applyBorder="1" applyAlignment="1">
      <alignment horizontal="left" vertical="center" wrapText="1"/>
    </xf>
    <xf numFmtId="0" fontId="65" fillId="0" borderId="58" xfId="0" applyFont="1" applyBorder="1" applyAlignment="1">
      <alignment vertical="center" wrapText="1"/>
    </xf>
    <xf numFmtId="0" fontId="12" fillId="0" borderId="58" xfId="0" applyFont="1" applyBorder="1" applyAlignment="1">
      <alignment horizontal="right" vertical="center" wrapText="1"/>
    </xf>
    <xf numFmtId="0" fontId="80" fillId="32" borderId="64" xfId="0" applyFont="1" applyFill="1" applyBorder="1" applyAlignment="1">
      <alignment horizontal="left" vertical="center" wrapText="1"/>
    </xf>
    <xf numFmtId="0" fontId="128" fillId="12" borderId="68" xfId="0" applyFont="1" applyFill="1" applyBorder="1" applyAlignment="1">
      <alignment horizontal="left" vertical="center" wrapText="1"/>
    </xf>
    <xf numFmtId="0" fontId="65" fillId="0" borderId="59" xfId="0" applyFont="1" applyBorder="1" applyAlignment="1">
      <alignment vertical="center"/>
    </xf>
    <xf numFmtId="0" fontId="145" fillId="13" borderId="44" xfId="0" applyFont="1" applyFill="1" applyBorder="1" applyAlignment="1">
      <alignment vertical="center"/>
    </xf>
    <xf numFmtId="0" fontId="147" fillId="13" borderId="0" xfId="0" applyFont="1" applyFill="1" applyAlignment="1">
      <alignment vertical="center"/>
    </xf>
    <xf numFmtId="0" fontId="19" fillId="13" borderId="0" xfId="0" applyFont="1" applyFill="1" applyAlignment="1">
      <alignment vertical="center"/>
    </xf>
    <xf numFmtId="0" fontId="19" fillId="13" borderId="45" xfId="0" applyFont="1" applyFill="1" applyBorder="1" applyAlignment="1">
      <alignment vertical="center"/>
    </xf>
    <xf numFmtId="0" fontId="13" fillId="0" borderId="58" xfId="0" applyFont="1" applyBorder="1" applyAlignment="1">
      <alignment vertical="center" wrapText="1"/>
    </xf>
    <xf numFmtId="0" fontId="65" fillId="0" borderId="59" xfId="0" applyFont="1" applyBorder="1" applyAlignment="1">
      <alignment vertical="center" wrapText="1"/>
    </xf>
    <xf numFmtId="166" fontId="117" fillId="36" borderId="32" xfId="2" applyNumberFormat="1" applyFont="1" applyFill="1" applyBorder="1" applyAlignment="1">
      <alignment vertical="center"/>
    </xf>
    <xf numFmtId="166" fontId="129" fillId="36" borderId="32" xfId="2" applyNumberFormat="1" applyFont="1" applyFill="1" applyBorder="1" applyAlignment="1">
      <alignment horizontal="right" vertical="center" wrapText="1"/>
    </xf>
    <xf numFmtId="166" fontId="128" fillId="36" borderId="32" xfId="2" applyNumberFormat="1" applyFont="1" applyFill="1" applyBorder="1" applyAlignment="1">
      <alignment horizontal="right" vertical="center" wrapText="1"/>
    </xf>
    <xf numFmtId="9" fontId="87" fillId="23" borderId="32" xfId="3" applyFont="1" applyFill="1" applyBorder="1" applyAlignment="1">
      <alignment vertical="center" wrapText="1"/>
    </xf>
    <xf numFmtId="0" fontId="160" fillId="2" borderId="0" xfId="0" applyFont="1" applyFill="1"/>
    <xf numFmtId="0" fontId="13" fillId="37" borderId="0" xfId="0" applyFont="1" applyFill="1"/>
    <xf numFmtId="0" fontId="13" fillId="37" borderId="0" xfId="0" applyFont="1" applyFill="1" applyAlignment="1">
      <alignment horizontal="left" indent="1"/>
    </xf>
    <xf numFmtId="0" fontId="13" fillId="37" borderId="0" xfId="0" applyFont="1" applyFill="1" applyAlignment="1">
      <alignment wrapText="1"/>
    </xf>
    <xf numFmtId="0" fontId="8" fillId="37" borderId="0" xfId="0" applyFont="1" applyFill="1"/>
    <xf numFmtId="0" fontId="161" fillId="23" borderId="0" xfId="0" applyFont="1" applyFill="1" applyAlignment="1">
      <alignment horizontal="left" vertical="center" indent="1"/>
    </xf>
    <xf numFmtId="0" fontId="162" fillId="4" borderId="0" xfId="1" applyFont="1" applyFill="1" applyAlignment="1">
      <alignment horizontal="left" indent="1"/>
    </xf>
    <xf numFmtId="0" fontId="163" fillId="4" borderId="0" xfId="0" applyFont="1" applyFill="1"/>
    <xf numFmtId="0" fontId="162" fillId="4" borderId="0" xfId="1" applyFont="1" applyFill="1" applyBorder="1" applyAlignment="1">
      <alignment horizontal="left" indent="1"/>
    </xf>
    <xf numFmtId="0" fontId="161" fillId="5" borderId="0" xfId="0" applyFont="1" applyFill="1" applyAlignment="1">
      <alignment horizontal="left" vertical="center"/>
    </xf>
    <xf numFmtId="0" fontId="163" fillId="2" borderId="0" xfId="0" applyFont="1" applyFill="1"/>
    <xf numFmtId="0" fontId="19" fillId="37" borderId="33" xfId="0" applyFont="1" applyFill="1" applyBorder="1" applyAlignment="1">
      <alignment vertical="center" wrapText="1"/>
    </xf>
    <xf numFmtId="0" fontId="25" fillId="37" borderId="8" xfId="0" applyFont="1" applyFill="1" applyBorder="1" applyAlignment="1">
      <alignment horizontal="left" vertical="center"/>
    </xf>
    <xf numFmtId="0" fontId="25" fillId="37" borderId="8" xfId="0" applyFont="1" applyFill="1" applyBorder="1" applyAlignment="1">
      <alignment vertical="center"/>
    </xf>
    <xf numFmtId="0" fontId="25" fillId="37" borderId="8" xfId="0" applyFont="1" applyFill="1" applyBorder="1" applyAlignment="1">
      <alignment horizontal="right" vertical="center"/>
    </xf>
    <xf numFmtId="0" fontId="164" fillId="2" borderId="0" xfId="0" applyFont="1" applyFill="1" applyAlignment="1">
      <alignment horizontal="left" vertical="center"/>
    </xf>
    <xf numFmtId="0" fontId="165" fillId="0" borderId="0" xfId="0" applyFont="1" applyAlignment="1">
      <alignment vertical="center"/>
    </xf>
    <xf numFmtId="0" fontId="166" fillId="2" borderId="55" xfId="0" applyFont="1" applyFill="1" applyBorder="1" applyAlignment="1">
      <alignment horizontal="right" vertical="center" wrapText="1"/>
    </xf>
    <xf numFmtId="0" fontId="166" fillId="2" borderId="56" xfId="0" applyFont="1" applyFill="1" applyBorder="1" applyAlignment="1">
      <alignment horizontal="right" vertical="center" wrapText="1"/>
    </xf>
    <xf numFmtId="0" fontId="166" fillId="0" borderId="54" xfId="0" applyFont="1" applyBorder="1" applyAlignment="1">
      <alignment horizontal="right" vertical="center" wrapText="1"/>
    </xf>
    <xf numFmtId="0" fontId="166" fillId="2" borderId="54" xfId="0" applyFont="1" applyFill="1" applyBorder="1" applyAlignment="1">
      <alignment horizontal="right" vertical="center" wrapText="1"/>
    </xf>
    <xf numFmtId="0" fontId="166" fillId="2" borderId="7" xfId="0" applyFont="1" applyFill="1" applyBorder="1" applyAlignment="1">
      <alignment horizontal="right" vertical="center" wrapText="1"/>
    </xf>
    <xf numFmtId="164" fontId="166" fillId="2" borderId="54" xfId="0" applyNumberFormat="1" applyFont="1" applyFill="1" applyBorder="1" applyAlignment="1">
      <alignment horizontal="right" vertical="center" wrapText="1"/>
    </xf>
    <xf numFmtId="0" fontId="166" fillId="0" borderId="56" xfId="0" applyFont="1" applyBorder="1" applyAlignment="1">
      <alignment horizontal="right" vertical="center" wrapText="1"/>
    </xf>
    <xf numFmtId="0" fontId="167" fillId="2" borderId="55" xfId="0" applyFont="1" applyFill="1" applyBorder="1" applyAlignment="1">
      <alignment horizontal="right" vertical="center"/>
    </xf>
    <xf numFmtId="0" fontId="167" fillId="2" borderId="56" xfId="0" applyFont="1" applyFill="1" applyBorder="1" applyAlignment="1">
      <alignment horizontal="right" vertical="center"/>
    </xf>
    <xf numFmtId="0" fontId="167" fillId="2" borderId="7" xfId="0" applyFont="1" applyFill="1" applyBorder="1" applyAlignment="1">
      <alignment horizontal="right" vertical="center"/>
    </xf>
    <xf numFmtId="0" fontId="168" fillId="2" borderId="0" xfId="0" applyFont="1" applyFill="1" applyAlignment="1">
      <alignment horizontal="left" vertical="center"/>
    </xf>
    <xf numFmtId="0" fontId="168" fillId="0" borderId="0" xfId="0" applyFont="1" applyAlignment="1">
      <alignment vertical="center"/>
    </xf>
    <xf numFmtId="3" fontId="166" fillId="4" borderId="58" xfId="0" applyNumberFormat="1" applyFont="1" applyFill="1" applyBorder="1" applyAlignment="1">
      <alignment horizontal="right" vertical="center"/>
    </xf>
    <xf numFmtId="3" fontId="166" fillId="4" borderId="32" xfId="0" applyNumberFormat="1" applyFont="1" applyFill="1" applyBorder="1" applyAlignment="1">
      <alignment horizontal="right" vertical="center"/>
    </xf>
    <xf numFmtId="0" fontId="166" fillId="4" borderId="32" xfId="0" applyFont="1" applyFill="1" applyBorder="1" applyAlignment="1">
      <alignment horizontal="right" vertical="center"/>
    </xf>
    <xf numFmtId="0" fontId="166" fillId="4" borderId="32" xfId="0" applyFont="1" applyFill="1" applyBorder="1" applyAlignment="1">
      <alignment horizontal="right" vertical="center" wrapText="1"/>
    </xf>
    <xf numFmtId="0" fontId="166" fillId="4" borderId="59" xfId="0" applyFont="1" applyFill="1" applyBorder="1" applyAlignment="1">
      <alignment horizontal="right" vertical="center" wrapText="1"/>
    </xf>
    <xf numFmtId="0" fontId="166" fillId="4" borderId="57" xfId="0" applyFont="1" applyFill="1" applyBorder="1" applyAlignment="1">
      <alignment horizontal="right" vertical="center" wrapText="1"/>
    </xf>
    <xf numFmtId="0" fontId="166" fillId="4" borderId="50" xfId="0" applyFont="1" applyFill="1" applyBorder="1" applyAlignment="1">
      <alignment horizontal="right" vertical="center" wrapText="1"/>
    </xf>
    <xf numFmtId="0" fontId="166" fillId="4" borderId="51" xfId="0" applyFont="1" applyFill="1" applyBorder="1" applyAlignment="1">
      <alignment horizontal="right" vertical="center"/>
    </xf>
    <xf numFmtId="0" fontId="166" fillId="4" borderId="52" xfId="0" applyFont="1" applyFill="1" applyBorder="1" applyAlignment="1">
      <alignment horizontal="right" vertical="center" wrapText="1"/>
    </xf>
    <xf numFmtId="0" fontId="104" fillId="37" borderId="33" xfId="0" applyFont="1" applyFill="1" applyBorder="1" applyAlignment="1">
      <alignment vertical="center"/>
    </xf>
    <xf numFmtId="0" fontId="104" fillId="37" borderId="33" xfId="0" applyFont="1" applyFill="1" applyBorder="1" applyAlignment="1">
      <alignment horizontal="right" vertical="center"/>
    </xf>
    <xf numFmtId="3" fontId="165" fillId="4" borderId="32" xfId="0" applyNumberFormat="1" applyFont="1" applyFill="1" applyBorder="1" applyAlignment="1">
      <alignment horizontal="right"/>
    </xf>
    <xf numFmtId="0" fontId="165" fillId="4" borderId="32" xfId="0" applyFont="1" applyFill="1" applyBorder="1" applyAlignment="1">
      <alignment horizontal="right"/>
    </xf>
    <xf numFmtId="9" fontId="165" fillId="4" borderId="32" xfId="3" applyFont="1" applyFill="1" applyBorder="1" applyAlignment="1">
      <alignment horizontal="right"/>
    </xf>
    <xf numFmtId="166" fontId="165" fillId="4" borderId="32" xfId="2" applyNumberFormat="1" applyFont="1" applyFill="1" applyBorder="1" applyAlignment="1">
      <alignment horizontal="right"/>
    </xf>
    <xf numFmtId="9" fontId="165" fillId="4" borderId="32" xfId="0" applyNumberFormat="1" applyFont="1" applyFill="1" applyBorder="1" applyAlignment="1">
      <alignment horizontal="right"/>
    </xf>
    <xf numFmtId="1" fontId="165" fillId="4" borderId="32" xfId="0" applyNumberFormat="1" applyFont="1" applyFill="1" applyBorder="1" applyAlignment="1">
      <alignment horizontal="right"/>
    </xf>
    <xf numFmtId="166" fontId="165" fillId="4" borderId="32" xfId="2" applyNumberFormat="1" applyFont="1" applyFill="1" applyBorder="1"/>
    <xf numFmtId="0" fontId="165" fillId="4" borderId="32" xfId="0" applyFont="1" applyFill="1" applyBorder="1"/>
    <xf numFmtId="2" fontId="165" fillId="4" borderId="32" xfId="0" applyNumberFormat="1" applyFont="1" applyFill="1" applyBorder="1" applyAlignment="1">
      <alignment horizontal="right"/>
    </xf>
    <xf numFmtId="0" fontId="25" fillId="37" borderId="32" xfId="0" applyFont="1" applyFill="1" applyBorder="1" applyAlignment="1">
      <alignment horizontal="left" vertical="center"/>
    </xf>
    <xf numFmtId="0" fontId="25" fillId="37" borderId="32" xfId="0" applyFont="1" applyFill="1" applyBorder="1" applyAlignment="1">
      <alignment horizontal="left" vertical="center" wrapText="1"/>
    </xf>
    <xf numFmtId="0" fontId="16" fillId="37" borderId="32" xfId="0" applyFont="1" applyFill="1" applyBorder="1" applyAlignment="1">
      <alignment horizontal="right" vertical="center" wrapText="1"/>
    </xf>
    <xf numFmtId="166" fontId="168" fillId="4" borderId="60" xfId="2" applyNumberFormat="1" applyFont="1" applyFill="1" applyBorder="1" applyAlignment="1">
      <alignment horizontal="right" vertical="center"/>
    </xf>
    <xf numFmtId="9" fontId="168" fillId="4" borderId="60" xfId="3" applyFont="1" applyFill="1" applyBorder="1" applyAlignment="1">
      <alignment horizontal="right" vertical="center"/>
    </xf>
    <xf numFmtId="0" fontId="168" fillId="4" borderId="60" xfId="0" applyFont="1" applyFill="1" applyBorder="1" applyAlignment="1">
      <alignment horizontal="right" vertical="center"/>
    </xf>
    <xf numFmtId="2" fontId="168" fillId="4" borderId="60" xfId="0" applyNumberFormat="1" applyFont="1" applyFill="1" applyBorder="1" applyAlignment="1">
      <alignment horizontal="right" vertical="center"/>
    </xf>
    <xf numFmtId="0" fontId="104" fillId="37" borderId="14" xfId="0" applyFont="1" applyFill="1" applyBorder="1" applyAlignment="1">
      <alignment vertical="center" wrapText="1"/>
    </xf>
    <xf numFmtId="0" fontId="104" fillId="37" borderId="14" xfId="0" applyFont="1" applyFill="1" applyBorder="1" applyAlignment="1">
      <alignment horizontal="center" vertical="center" wrapText="1"/>
    </xf>
    <xf numFmtId="0" fontId="161" fillId="5" borderId="0" xfId="0" applyFont="1" applyFill="1" applyAlignment="1">
      <alignment vertical="center"/>
    </xf>
    <xf numFmtId="0" fontId="148" fillId="39" borderId="0" xfId="0" applyFont="1" applyFill="1" applyAlignment="1">
      <alignment horizontal="left" vertical="center"/>
    </xf>
    <xf numFmtId="0" fontId="41" fillId="39" borderId="0" xfId="0" applyFont="1" applyFill="1" applyAlignment="1">
      <alignment horizontal="left" vertical="center" wrapText="1"/>
    </xf>
    <xf numFmtId="0" fontId="42" fillId="39" borderId="0" xfId="0" applyFont="1" applyFill="1" applyAlignment="1">
      <alignment horizontal="right" vertical="center"/>
    </xf>
    <xf numFmtId="0" fontId="164" fillId="10" borderId="32" xfId="0" applyFont="1" applyFill="1" applyBorder="1" applyAlignment="1">
      <alignment horizontal="right" vertical="center" wrapText="1"/>
    </xf>
    <xf numFmtId="3" fontId="165" fillId="4" borderId="32" xfId="0" applyNumberFormat="1" applyFont="1" applyFill="1" applyBorder="1" applyAlignment="1">
      <alignment horizontal="right" vertical="center"/>
    </xf>
    <xf numFmtId="0" fontId="165" fillId="4" borderId="32" xfId="0" applyFont="1" applyFill="1" applyBorder="1" applyAlignment="1">
      <alignment horizontal="right" vertical="center"/>
    </xf>
    <xf numFmtId="0" fontId="163" fillId="10" borderId="32" xfId="0" applyFont="1" applyFill="1" applyBorder="1" applyAlignment="1">
      <alignment horizontal="right" vertical="center" wrapText="1"/>
    </xf>
    <xf numFmtId="0" fontId="163" fillId="10" borderId="32" xfId="0" applyFont="1" applyFill="1" applyBorder="1" applyAlignment="1">
      <alignment horizontal="right" vertical="center"/>
    </xf>
    <xf numFmtId="164" fontId="167" fillId="4" borderId="32" xfId="3" applyNumberFormat="1" applyFont="1" applyFill="1" applyBorder="1" applyAlignment="1">
      <alignment horizontal="right" vertical="center"/>
    </xf>
    <xf numFmtId="164" fontId="165" fillId="4" borderId="32" xfId="3" applyNumberFormat="1" applyFont="1" applyFill="1" applyBorder="1" applyAlignment="1">
      <alignment horizontal="right" vertical="center"/>
    </xf>
    <xf numFmtId="0" fontId="7" fillId="10" borderId="32" xfId="0" applyFont="1" applyFill="1" applyBorder="1" applyAlignment="1">
      <alignment horizontal="right" vertical="center"/>
    </xf>
    <xf numFmtId="0" fontId="7" fillId="8" borderId="32" xfId="0" applyFont="1" applyFill="1" applyBorder="1" applyAlignment="1">
      <alignment horizontal="right" vertical="center" wrapText="1"/>
    </xf>
    <xf numFmtId="0" fontId="7" fillId="8" borderId="32" xfId="0" applyFont="1" applyFill="1" applyBorder="1" applyAlignment="1">
      <alignment horizontal="right" vertical="center"/>
    </xf>
    <xf numFmtId="0" fontId="7" fillId="8" borderId="32" xfId="2" applyNumberFormat="1" applyFont="1" applyFill="1" applyBorder="1" applyAlignment="1">
      <alignment horizontal="right" vertical="center"/>
    </xf>
    <xf numFmtId="0" fontId="149" fillId="39" borderId="0" xfId="0" applyFont="1" applyFill="1" applyAlignment="1">
      <alignment horizontal="left" vertical="center"/>
    </xf>
    <xf numFmtId="0" fontId="43" fillId="39" borderId="0" xfId="0" applyFont="1" applyFill="1" applyAlignment="1">
      <alignment vertical="center"/>
    </xf>
    <xf numFmtId="0" fontId="171" fillId="10" borderId="32" xfId="0" applyFont="1" applyFill="1" applyBorder="1" applyAlignment="1">
      <alignment horizontal="left" vertical="center" wrapText="1"/>
    </xf>
    <xf numFmtId="0" fontId="171" fillId="8" borderId="32" xfId="0" applyFont="1" applyFill="1" applyBorder="1" applyAlignment="1">
      <alignment vertical="center"/>
    </xf>
    <xf numFmtId="166" fontId="167" fillId="4" borderId="32" xfId="2" applyNumberFormat="1" applyFont="1" applyFill="1" applyBorder="1" applyAlignment="1">
      <alignment horizontal="right" vertical="center"/>
    </xf>
    <xf numFmtId="166" fontId="165" fillId="4" borderId="32" xfId="2" applyNumberFormat="1" applyFont="1" applyFill="1" applyBorder="1" applyAlignment="1">
      <alignment horizontal="right" vertical="center"/>
    </xf>
    <xf numFmtId="0" fontId="165" fillId="2" borderId="0" xfId="0" applyFont="1" applyFill="1" applyAlignment="1">
      <alignment horizontal="right" vertical="center"/>
    </xf>
    <xf numFmtId="0" fontId="58" fillId="37" borderId="32" xfId="0" applyFont="1" applyFill="1" applyBorder="1" applyAlignment="1">
      <alignment horizontal="left" vertical="center" wrapText="1"/>
    </xf>
    <xf numFmtId="0" fontId="25" fillId="37" borderId="32" xfId="0" applyFont="1" applyFill="1" applyBorder="1" applyAlignment="1">
      <alignment horizontal="right" vertical="center" wrapText="1"/>
    </xf>
    <xf numFmtId="0" fontId="58" fillId="37" borderId="32" xfId="0" applyFont="1" applyFill="1" applyBorder="1" applyAlignment="1">
      <alignment vertical="center" wrapText="1"/>
    </xf>
    <xf numFmtId="0" fontId="25" fillId="37" borderId="32" xfId="0" applyFont="1" applyFill="1" applyBorder="1" applyAlignment="1">
      <alignment horizontal="center" vertical="center" wrapText="1"/>
    </xf>
    <xf numFmtId="0" fontId="58" fillId="37" borderId="32" xfId="0" applyFont="1" applyFill="1" applyBorder="1" applyAlignment="1">
      <alignment vertical="center"/>
    </xf>
    <xf numFmtId="0" fontId="97" fillId="37" borderId="32" xfId="0" applyFont="1" applyFill="1" applyBorder="1" applyAlignment="1">
      <alignment horizontal="center" vertical="center" wrapText="1"/>
    </xf>
    <xf numFmtId="0" fontId="16" fillId="37" borderId="32" xfId="0" applyFont="1" applyFill="1" applyBorder="1" applyAlignment="1">
      <alignment horizontal="right" vertical="center"/>
    </xf>
    <xf numFmtId="0" fontId="25" fillId="37" borderId="32" xfId="0" applyFont="1" applyFill="1" applyBorder="1" applyAlignment="1">
      <alignment horizontal="right" vertical="center"/>
    </xf>
    <xf numFmtId="169" fontId="104" fillId="37" borderId="32" xfId="0" applyNumberFormat="1" applyFont="1" applyFill="1" applyBorder="1" applyAlignment="1">
      <alignment horizontal="left" vertical="center"/>
    </xf>
    <xf numFmtId="0" fontId="104" fillId="37" borderId="32" xfId="0" applyFont="1" applyFill="1" applyBorder="1" applyAlignment="1">
      <alignment horizontal="right" vertical="center"/>
    </xf>
    <xf numFmtId="0" fontId="104" fillId="37" borderId="32" xfId="0" applyFont="1" applyFill="1" applyBorder="1" applyAlignment="1">
      <alignment horizontal="right" vertical="center" wrapText="1"/>
    </xf>
    <xf numFmtId="0" fontId="105" fillId="37" borderId="32" xfId="0" applyFont="1" applyFill="1" applyBorder="1" applyAlignment="1">
      <alignment horizontal="right" vertical="center"/>
    </xf>
    <xf numFmtId="0" fontId="105" fillId="37" borderId="32" xfId="0" applyFont="1" applyFill="1" applyBorder="1" applyAlignment="1">
      <alignment horizontal="right" vertical="center" wrapText="1"/>
    </xf>
    <xf numFmtId="0" fontId="104" fillId="37" borderId="32" xfId="0" applyFont="1" applyFill="1" applyBorder="1" applyAlignment="1">
      <alignment horizontal="left" vertical="center" wrapText="1"/>
    </xf>
    <xf numFmtId="0" fontId="104" fillId="39" borderId="32" xfId="0" applyFont="1" applyFill="1" applyBorder="1" applyAlignment="1">
      <alignment horizontal="right" vertical="center" wrapText="1"/>
    </xf>
    <xf numFmtId="169" fontId="133" fillId="37" borderId="32" xfId="0" applyNumberFormat="1" applyFont="1" applyFill="1" applyBorder="1" applyAlignment="1">
      <alignment horizontal="left" vertical="center"/>
    </xf>
    <xf numFmtId="0" fontId="165" fillId="4" borderId="32" xfId="0" applyFont="1" applyFill="1" applyBorder="1" applyAlignment="1">
      <alignment vertical="center"/>
    </xf>
    <xf numFmtId="9" fontId="165" fillId="4" borderId="32" xfId="3" applyFont="1" applyFill="1" applyBorder="1" applyAlignment="1">
      <alignment vertical="center"/>
    </xf>
    <xf numFmtId="0" fontId="165" fillId="4" borderId="32" xfId="0" applyFont="1" applyFill="1" applyBorder="1" applyAlignment="1">
      <alignment horizontal="right" vertical="center" wrapText="1"/>
    </xf>
    <xf numFmtId="2" fontId="165" fillId="4" borderId="32" xfId="0" applyNumberFormat="1" applyFont="1" applyFill="1" applyBorder="1" applyAlignment="1">
      <alignment vertical="center"/>
    </xf>
    <xf numFmtId="1" fontId="165" fillId="4" borderId="32" xfId="0" applyNumberFormat="1" applyFont="1" applyFill="1" applyBorder="1" applyAlignment="1">
      <alignment vertical="center"/>
    </xf>
    <xf numFmtId="2" fontId="165" fillId="4" borderId="32" xfId="0" applyNumberFormat="1" applyFont="1" applyFill="1" applyBorder="1" applyAlignment="1">
      <alignment horizontal="right" vertical="center"/>
    </xf>
    <xf numFmtId="165" fontId="165" fillId="4" borderId="32" xfId="0" applyNumberFormat="1" applyFont="1" applyFill="1" applyBorder="1" applyAlignment="1">
      <alignment horizontal="right" vertical="center"/>
    </xf>
    <xf numFmtId="0" fontId="165" fillId="4" borderId="32" xfId="0" applyFont="1" applyFill="1" applyBorder="1" applyAlignment="1">
      <alignment wrapText="1"/>
    </xf>
    <xf numFmtId="0" fontId="165" fillId="4" borderId="32" xfId="0" applyFont="1" applyFill="1" applyBorder="1" applyAlignment="1">
      <alignment horizontal="right" wrapText="1"/>
    </xf>
    <xf numFmtId="0" fontId="133" fillId="37" borderId="32" xfId="0" applyFont="1" applyFill="1" applyBorder="1" applyAlignment="1">
      <alignment horizontal="right" vertical="center" wrapText="1"/>
    </xf>
    <xf numFmtId="0" fontId="167" fillId="2" borderId="6" xfId="0" applyFont="1" applyFill="1" applyBorder="1" applyAlignment="1">
      <alignment horizontal="center"/>
    </xf>
    <xf numFmtId="0" fontId="167" fillId="4" borderId="6" xfId="0" applyFont="1" applyFill="1" applyBorder="1" applyAlignment="1">
      <alignment horizontal="center" vertical="center" wrapText="1"/>
    </xf>
    <xf numFmtId="0" fontId="165" fillId="4" borderId="6" xfId="0" applyFont="1" applyFill="1" applyBorder="1" applyAlignment="1">
      <alignment horizontal="center" vertical="center" wrapText="1"/>
    </xf>
    <xf numFmtId="0" fontId="16" fillId="37" borderId="32" xfId="0" applyFont="1" applyFill="1" applyBorder="1" applyAlignment="1">
      <alignment horizontal="left" vertical="center"/>
    </xf>
    <xf numFmtId="0" fontId="16" fillId="37" borderId="32" xfId="0" applyFont="1" applyFill="1" applyBorder="1" applyAlignment="1">
      <alignment horizontal="left" vertical="center" wrapText="1"/>
    </xf>
    <xf numFmtId="0" fontId="16" fillId="37" borderId="32" xfId="0" applyFont="1" applyFill="1" applyBorder="1" applyAlignment="1">
      <alignment horizontal="left"/>
    </xf>
    <xf numFmtId="0" fontId="25" fillId="37" borderId="32" xfId="0" applyFont="1" applyFill="1" applyBorder="1" applyAlignment="1">
      <alignment horizontal="right"/>
    </xf>
    <xf numFmtId="9" fontId="165" fillId="4" borderId="32" xfId="0" applyNumberFormat="1" applyFont="1" applyFill="1" applyBorder="1" applyAlignment="1">
      <alignment horizontal="right" wrapText="1"/>
    </xf>
    <xf numFmtId="1" fontId="165" fillId="4" borderId="32" xfId="0" applyNumberFormat="1" applyFont="1" applyFill="1" applyBorder="1" applyAlignment="1">
      <alignment horizontal="right" wrapText="1"/>
    </xf>
    <xf numFmtId="0" fontId="104" fillId="37" borderId="14" xfId="0" applyFont="1" applyFill="1" applyBorder="1" applyAlignment="1">
      <alignment horizontal="right" vertical="center" wrapText="1"/>
    </xf>
    <xf numFmtId="166" fontId="12" fillId="0" borderId="60" xfId="2" applyNumberFormat="1" applyFont="1" applyFill="1" applyBorder="1" applyAlignment="1">
      <alignment vertical="center"/>
    </xf>
    <xf numFmtId="166" fontId="13" fillId="0" borderId="60" xfId="2" applyNumberFormat="1" applyFont="1" applyFill="1" applyBorder="1" applyAlignment="1">
      <alignment vertical="center"/>
    </xf>
    <xf numFmtId="164" fontId="13" fillId="0" borderId="60" xfId="3" applyNumberFormat="1" applyFont="1" applyFill="1" applyBorder="1" applyAlignment="1">
      <alignment vertical="center"/>
    </xf>
    <xf numFmtId="2" fontId="13" fillId="0" borderId="60" xfId="0" applyNumberFormat="1" applyFont="1" applyBorder="1" applyAlignment="1">
      <alignment vertical="center"/>
    </xf>
    <xf numFmtId="9" fontId="13" fillId="0" borderId="60" xfId="3" applyFont="1" applyFill="1" applyBorder="1" applyAlignment="1">
      <alignment vertical="center"/>
    </xf>
    <xf numFmtId="0" fontId="159" fillId="34" borderId="0" xfId="0" applyFont="1" applyFill="1" applyBorder="1" applyAlignment="1">
      <alignment horizontal="left" vertical="center"/>
    </xf>
    <xf numFmtId="0" fontId="116" fillId="34" borderId="0" xfId="0" applyFont="1" applyFill="1" applyBorder="1" applyAlignment="1">
      <alignment horizontal="left" vertical="center"/>
    </xf>
    <xf numFmtId="0" fontId="8" fillId="34" borderId="0" xfId="0" applyFont="1" applyFill="1" applyBorder="1" applyAlignment="1">
      <alignment vertical="center"/>
    </xf>
    <xf numFmtId="0" fontId="158" fillId="25" borderId="73" xfId="0" applyFont="1" applyFill="1" applyBorder="1" applyAlignment="1">
      <alignment horizontal="left" vertical="center"/>
    </xf>
    <xf numFmtId="0" fontId="116" fillId="25" borderId="73" xfId="0" applyFont="1" applyFill="1" applyBorder="1" applyAlignment="1">
      <alignment horizontal="left" vertical="center"/>
    </xf>
    <xf numFmtId="0" fontId="8" fillId="25" borderId="73" xfId="0" applyFont="1" applyFill="1" applyBorder="1" applyAlignment="1">
      <alignment vertical="center"/>
    </xf>
    <xf numFmtId="0" fontId="8" fillId="25" borderId="74" xfId="0" applyFont="1" applyFill="1" applyBorder="1" applyAlignment="1">
      <alignment vertical="center"/>
    </xf>
    <xf numFmtId="0" fontId="158" fillId="25" borderId="0" xfId="0" applyFont="1" applyFill="1" applyBorder="1" applyAlignment="1">
      <alignment horizontal="left" vertical="center"/>
    </xf>
    <xf numFmtId="0" fontId="116" fillId="25" borderId="0" xfId="0" applyFont="1" applyFill="1" applyBorder="1" applyAlignment="1">
      <alignment horizontal="left" vertical="center"/>
    </xf>
    <xf numFmtId="0" fontId="8" fillId="25" borderId="0" xfId="0" applyFont="1" applyFill="1" applyBorder="1" applyAlignment="1">
      <alignment vertical="center"/>
    </xf>
    <xf numFmtId="0" fontId="8" fillId="25" borderId="75" xfId="0" applyFont="1" applyFill="1" applyBorder="1" applyAlignment="1">
      <alignment vertical="center"/>
    </xf>
    <xf numFmtId="0" fontId="158" fillId="25" borderId="76" xfId="0" applyFont="1" applyFill="1" applyBorder="1" applyAlignment="1">
      <alignment horizontal="left" vertical="center"/>
    </xf>
    <xf numFmtId="0" fontId="116" fillId="25" borderId="76" xfId="0" applyFont="1" applyFill="1" applyBorder="1" applyAlignment="1">
      <alignment horizontal="left" vertical="center"/>
    </xf>
    <xf numFmtId="0" fontId="8" fillId="25" borderId="76" xfId="0" applyFont="1" applyFill="1" applyBorder="1" applyAlignment="1">
      <alignment vertical="center"/>
    </xf>
    <xf numFmtId="0" fontId="8" fillId="25" borderId="77" xfId="0" applyFont="1" applyFill="1" applyBorder="1" applyAlignment="1">
      <alignment vertical="center"/>
    </xf>
    <xf numFmtId="0" fontId="159" fillId="34" borderId="73" xfId="0" applyFont="1" applyFill="1" applyBorder="1" applyAlignment="1">
      <alignment horizontal="left" vertical="center"/>
    </xf>
    <xf numFmtId="0" fontId="116" fillId="34" borderId="73" xfId="0" applyFont="1" applyFill="1" applyBorder="1" applyAlignment="1">
      <alignment horizontal="left" vertical="center"/>
    </xf>
    <xf numFmtId="0" fontId="8" fillId="34" borderId="73" xfId="0" applyFont="1" applyFill="1" applyBorder="1" applyAlignment="1">
      <alignment vertical="center"/>
    </xf>
    <xf numFmtId="0" fontId="8" fillId="34" borderId="74" xfId="0" applyFont="1" applyFill="1" applyBorder="1" applyAlignment="1">
      <alignment vertical="center"/>
    </xf>
    <xf numFmtId="0" fontId="8" fillId="34" borderId="75" xfId="0" applyFont="1" applyFill="1" applyBorder="1" applyAlignment="1">
      <alignment vertical="center"/>
    </xf>
    <xf numFmtId="0" fontId="159" fillId="34" borderId="76" xfId="0" applyFont="1" applyFill="1" applyBorder="1" applyAlignment="1">
      <alignment horizontal="left" vertical="center"/>
    </xf>
    <xf numFmtId="0" fontId="116" fillId="34" borderId="76" xfId="0" applyFont="1" applyFill="1" applyBorder="1" applyAlignment="1">
      <alignment horizontal="left" vertical="center"/>
    </xf>
    <xf numFmtId="0" fontId="8" fillId="34" borderId="76" xfId="0" applyFont="1" applyFill="1" applyBorder="1" applyAlignment="1">
      <alignment vertical="center"/>
    </xf>
    <xf numFmtId="0" fontId="8" fillId="34" borderId="77" xfId="0" applyFont="1" applyFill="1" applyBorder="1" applyAlignment="1">
      <alignment vertical="center"/>
    </xf>
    <xf numFmtId="0" fontId="153" fillId="32" borderId="79" xfId="0" applyFont="1" applyFill="1" applyBorder="1" applyAlignment="1">
      <alignment vertical="center"/>
    </xf>
    <xf numFmtId="0" fontId="8" fillId="32" borderId="79" xfId="0" applyFont="1" applyFill="1" applyBorder="1"/>
    <xf numFmtId="0" fontId="8" fillId="32" borderId="80" xfId="0" applyFont="1" applyFill="1" applyBorder="1"/>
    <xf numFmtId="0" fontId="158" fillId="25" borderId="81" xfId="0" applyFont="1" applyFill="1" applyBorder="1" applyAlignment="1">
      <alignment horizontal="left" vertical="center"/>
    </xf>
    <xf numFmtId="0" fontId="158" fillId="25" borderId="82" xfId="0" applyFont="1" applyFill="1" applyBorder="1" applyAlignment="1">
      <alignment horizontal="left" vertical="center"/>
    </xf>
    <xf numFmtId="0" fontId="158" fillId="25" borderId="83" xfId="0" applyFont="1" applyFill="1" applyBorder="1" applyAlignment="1">
      <alignment horizontal="left" vertical="center"/>
    </xf>
    <xf numFmtId="0" fontId="159" fillId="34" borderId="81" xfId="0" applyFont="1" applyFill="1" applyBorder="1" applyAlignment="1">
      <alignment horizontal="left" vertical="center"/>
    </xf>
    <xf numFmtId="0" fontId="159" fillId="34" borderId="82" xfId="0" applyFont="1" applyFill="1" applyBorder="1" applyAlignment="1">
      <alignment horizontal="left" vertical="center"/>
    </xf>
    <xf numFmtId="0" fontId="159" fillId="34" borderId="83" xfId="0" applyFont="1" applyFill="1" applyBorder="1" applyAlignment="1">
      <alignment horizontal="left" vertical="center"/>
    </xf>
    <xf numFmtId="0" fontId="116" fillId="2" borderId="32" xfId="0" applyFont="1" applyFill="1" applyBorder="1" applyAlignment="1">
      <alignment horizontal="left" vertical="center" indent="2"/>
    </xf>
    <xf numFmtId="0" fontId="102" fillId="4" borderId="0" xfId="0" applyFont="1" applyFill="1" applyAlignment="1">
      <alignment horizontal="left" vertical="top" wrapText="1" indent="1"/>
    </xf>
    <xf numFmtId="0" fontId="12" fillId="4" borderId="0" xfId="0" applyFont="1" applyFill="1" applyAlignment="1">
      <alignment horizontal="left" vertical="top" wrapText="1" indent="1"/>
    </xf>
    <xf numFmtId="0" fontId="7" fillId="37" borderId="0" xfId="0" applyFont="1" applyFill="1" applyAlignment="1">
      <alignment horizontal="left" vertical="top" wrapText="1"/>
    </xf>
    <xf numFmtId="0" fontId="50" fillId="37" borderId="0" xfId="0" applyFont="1" applyFill="1" applyAlignment="1">
      <alignment horizontal="left" vertical="center"/>
    </xf>
    <xf numFmtId="0" fontId="12" fillId="4" borderId="0" xfId="0" applyFont="1" applyFill="1" applyAlignment="1">
      <alignment horizontal="left" vertical="center" wrapText="1" indent="1"/>
    </xf>
    <xf numFmtId="0" fontId="12" fillId="4" borderId="0" xfId="0" applyFont="1" applyFill="1" applyAlignment="1">
      <alignment horizontal="left" vertical="top" wrapText="1"/>
    </xf>
    <xf numFmtId="0" fontId="12" fillId="4" borderId="0" xfId="0" applyFont="1" applyFill="1" applyAlignment="1">
      <alignment horizontal="left" vertical="top" wrapText="1" indent="4"/>
    </xf>
    <xf numFmtId="0" fontId="163" fillId="2" borderId="0" xfId="0" applyFont="1" applyFill="1" applyAlignment="1">
      <alignment horizontal="left" wrapText="1"/>
    </xf>
    <xf numFmtId="0" fontId="63" fillId="33" borderId="81" xfId="0" applyFont="1" applyFill="1" applyBorder="1" applyAlignment="1">
      <alignment horizontal="center" vertical="center"/>
    </xf>
    <xf numFmtId="0" fontId="63" fillId="33" borderId="82" xfId="0" applyFont="1" applyFill="1" applyBorder="1" applyAlignment="1">
      <alignment horizontal="center" vertical="center"/>
    </xf>
    <xf numFmtId="0" fontId="63" fillId="33" borderId="83" xfId="0" applyFont="1" applyFill="1" applyBorder="1" applyAlignment="1">
      <alignment horizontal="center" vertical="center"/>
    </xf>
    <xf numFmtId="0" fontId="63" fillId="38" borderId="81" xfId="0" applyFont="1" applyFill="1" applyBorder="1" applyAlignment="1">
      <alignment horizontal="center" vertical="center"/>
    </xf>
    <xf numFmtId="0" fontId="63" fillId="38" borderId="82" xfId="0" applyFont="1" applyFill="1" applyBorder="1" applyAlignment="1">
      <alignment horizontal="center" vertical="center"/>
    </xf>
    <xf numFmtId="0" fontId="63" fillId="38" borderId="83" xfId="0" applyFont="1" applyFill="1" applyBorder="1" applyAlignment="1">
      <alignment horizontal="center" vertical="center"/>
    </xf>
    <xf numFmtId="0" fontId="21" fillId="32" borderId="78" xfId="0" applyFont="1" applyFill="1" applyBorder="1" applyAlignment="1">
      <alignment horizontal="left" vertical="center" indent="1"/>
    </xf>
    <xf numFmtId="0" fontId="21" fillId="32" borderId="79" xfId="0" applyFont="1" applyFill="1" applyBorder="1" applyAlignment="1">
      <alignment horizontal="left" vertical="center" indent="1"/>
    </xf>
    <xf numFmtId="0" fontId="117" fillId="0" borderId="84" xfId="0" applyFont="1" applyBorder="1" applyAlignment="1">
      <alignment horizontal="left" vertical="center" wrapText="1"/>
    </xf>
    <xf numFmtId="0" fontId="117" fillId="0" borderId="84" xfId="0" applyFont="1" applyBorder="1" applyAlignment="1">
      <alignment vertical="center"/>
    </xf>
    <xf numFmtId="0" fontId="125" fillId="38" borderId="58" xfId="0" applyFont="1" applyFill="1" applyBorder="1" applyAlignment="1">
      <alignment horizontal="left" vertical="center" wrapText="1"/>
    </xf>
    <xf numFmtId="0" fontId="125" fillId="38" borderId="32" xfId="0" applyFont="1" applyFill="1" applyBorder="1" applyAlignment="1">
      <alignment horizontal="left" vertical="center" wrapText="1"/>
    </xf>
    <xf numFmtId="0" fontId="125" fillId="38" borderId="59" xfId="0" applyFont="1" applyFill="1" applyBorder="1" applyAlignment="1">
      <alignment horizontal="left" vertical="center" wrapText="1"/>
    </xf>
    <xf numFmtId="0" fontId="125" fillId="38" borderId="58" xfId="0" applyFont="1" applyFill="1" applyBorder="1" applyAlignment="1">
      <alignment horizontal="left" vertical="center"/>
    </xf>
    <xf numFmtId="0" fontId="125" fillId="38" borderId="32" xfId="0" applyFont="1" applyFill="1" applyBorder="1" applyAlignment="1">
      <alignment horizontal="left" vertical="center"/>
    </xf>
    <xf numFmtId="0" fontId="125" fillId="38" borderId="59" xfId="0" applyFont="1" applyFill="1" applyBorder="1" applyAlignment="1">
      <alignment horizontal="left" vertical="center"/>
    </xf>
    <xf numFmtId="0" fontId="80" fillId="32" borderId="62" xfId="0" applyFont="1" applyFill="1" applyBorder="1" applyAlignment="1">
      <alignment horizontal="center" vertical="center" wrapText="1"/>
    </xf>
    <xf numFmtId="0" fontId="80" fillId="32" borderId="35" xfId="0" applyFont="1" applyFill="1" applyBorder="1" applyAlignment="1">
      <alignment horizontal="center" vertical="center" wrapText="1"/>
    </xf>
    <xf numFmtId="0" fontId="80" fillId="32" borderId="64" xfId="0" applyFont="1" applyFill="1" applyBorder="1" applyAlignment="1">
      <alignment horizontal="center" vertical="center" wrapText="1"/>
    </xf>
    <xf numFmtId="0" fontId="125" fillId="12" borderId="32" xfId="0" applyFont="1" applyFill="1" applyBorder="1" applyAlignment="1">
      <alignment horizontal="left" vertical="center" wrapText="1"/>
    </xf>
    <xf numFmtId="0" fontId="125" fillId="12" borderId="59" xfId="0" applyFont="1" applyFill="1" applyBorder="1" applyAlignment="1">
      <alignment horizontal="left" vertical="center" wrapText="1"/>
    </xf>
    <xf numFmtId="0" fontId="125" fillId="33" borderId="70" xfId="0" applyFont="1" applyFill="1" applyBorder="1" applyAlignment="1">
      <alignment horizontal="left" vertical="center" wrapText="1"/>
    </xf>
    <xf numFmtId="0" fontId="125" fillId="33" borderId="45" xfId="0" applyFont="1" applyFill="1" applyBorder="1" applyAlignment="1">
      <alignment horizontal="left" vertical="center" wrapText="1"/>
    </xf>
    <xf numFmtId="0" fontId="125" fillId="33" borderId="72" xfId="0" applyFont="1" applyFill="1" applyBorder="1" applyAlignment="1">
      <alignment horizontal="left" vertical="center" wrapText="1"/>
    </xf>
    <xf numFmtId="0" fontId="125" fillId="32" borderId="58" xfId="0" applyFont="1" applyFill="1" applyBorder="1" applyAlignment="1">
      <alignment horizontal="left" vertical="center" wrapText="1"/>
    </xf>
    <xf numFmtId="0" fontId="125" fillId="32" borderId="32" xfId="0" applyFont="1" applyFill="1" applyBorder="1" applyAlignment="1">
      <alignment horizontal="left" vertical="center" wrapText="1"/>
    </xf>
    <xf numFmtId="0" fontId="125" fillId="32" borderId="59" xfId="0" applyFont="1" applyFill="1" applyBorder="1" applyAlignment="1">
      <alignment horizontal="left" vertical="center" wrapText="1"/>
    </xf>
    <xf numFmtId="0" fontId="13" fillId="0" borderId="32" xfId="0" applyFont="1" applyBorder="1" applyAlignment="1">
      <alignment horizontal="left" vertical="center" wrapText="1"/>
    </xf>
    <xf numFmtId="0" fontId="125" fillId="12" borderId="33" xfId="0" applyFont="1" applyFill="1" applyBorder="1" applyAlignment="1">
      <alignment horizontal="left" vertical="center" wrapText="1"/>
    </xf>
    <xf numFmtId="0" fontId="125" fillId="12" borderId="35" xfId="0" applyFont="1" applyFill="1" applyBorder="1" applyAlignment="1">
      <alignment horizontal="left" vertical="center" wrapText="1"/>
    </xf>
    <xf numFmtId="0" fontId="125" fillId="12" borderId="64" xfId="0" applyFont="1" applyFill="1" applyBorder="1" applyAlignment="1">
      <alignment horizontal="left" vertical="center" wrapText="1"/>
    </xf>
    <xf numFmtId="0" fontId="66" fillId="14" borderId="58" xfId="0" applyFont="1" applyFill="1" applyBorder="1" applyAlignment="1">
      <alignment horizontal="left" vertical="center" wrapText="1"/>
    </xf>
    <xf numFmtId="0" fontId="104" fillId="37" borderId="33" xfId="0" applyFont="1" applyFill="1" applyBorder="1" applyAlignment="1">
      <alignment horizontal="center" vertical="center" wrapText="1"/>
    </xf>
    <xf numFmtId="0" fontId="104" fillId="37" borderId="35" xfId="0" applyFont="1" applyFill="1" applyBorder="1" applyAlignment="1">
      <alignment horizontal="center" vertical="center" wrapText="1"/>
    </xf>
    <xf numFmtId="0" fontId="125" fillId="33" borderId="58" xfId="0" applyFont="1" applyFill="1" applyBorder="1" applyAlignment="1">
      <alignment horizontal="left" vertical="center" wrapText="1"/>
    </xf>
    <xf numFmtId="0" fontId="125" fillId="33" borderId="32" xfId="0" applyFont="1" applyFill="1" applyBorder="1" applyAlignment="1">
      <alignment horizontal="left" vertical="center" wrapText="1"/>
    </xf>
    <xf numFmtId="0" fontId="125" fillId="33" borderId="59" xfId="0" applyFont="1" applyFill="1" applyBorder="1" applyAlignment="1">
      <alignment horizontal="left" vertical="center" wrapText="1"/>
    </xf>
    <xf numFmtId="0" fontId="125" fillId="33" borderId="58" xfId="0" applyFont="1" applyFill="1" applyBorder="1" applyAlignment="1">
      <alignment horizontal="left" vertical="center"/>
    </xf>
    <xf numFmtId="0" fontId="125" fillId="33" borderId="32" xfId="0" applyFont="1" applyFill="1" applyBorder="1" applyAlignment="1">
      <alignment horizontal="left" vertical="center"/>
    </xf>
    <xf numFmtId="0" fontId="125" fillId="33" borderId="59" xfId="0" applyFont="1" applyFill="1" applyBorder="1" applyAlignment="1">
      <alignment horizontal="left" vertical="center"/>
    </xf>
    <xf numFmtId="0" fontId="12" fillId="0" borderId="63" xfId="0" applyFont="1" applyBorder="1" applyAlignment="1">
      <alignment horizontal="left" vertical="center" wrapText="1"/>
    </xf>
    <xf numFmtId="0" fontId="12" fillId="0" borderId="67" xfId="0" applyFont="1" applyBorder="1" applyAlignment="1">
      <alignment horizontal="left" vertical="center" wrapText="1"/>
    </xf>
    <xf numFmtId="0" fontId="12" fillId="0" borderId="68" xfId="0" applyFont="1" applyBorder="1" applyAlignment="1">
      <alignment horizontal="left" vertical="center" wrapText="1"/>
    </xf>
    <xf numFmtId="0" fontId="11" fillId="2" borderId="32" xfId="0" applyFont="1" applyFill="1" applyBorder="1" applyAlignment="1">
      <alignment horizontal="left" vertical="center"/>
    </xf>
    <xf numFmtId="0" fontId="12" fillId="2" borderId="32" xfId="0" applyFont="1" applyFill="1" applyBorder="1" applyAlignment="1">
      <alignment horizontal="right" vertical="center" wrapText="1"/>
    </xf>
    <xf numFmtId="0" fontId="12" fillId="2" borderId="59" xfId="0" applyFont="1" applyFill="1" applyBorder="1" applyAlignment="1">
      <alignment horizontal="right" vertical="center" wrapText="1"/>
    </xf>
    <xf numFmtId="0" fontId="12" fillId="0" borderId="32" xfId="0" applyFont="1" applyBorder="1" applyAlignment="1">
      <alignment horizontal="center" vertical="center"/>
    </xf>
    <xf numFmtId="0" fontId="12" fillId="0" borderId="59" xfId="0" applyFont="1" applyBorder="1" applyAlignment="1">
      <alignment horizontal="center" vertical="center"/>
    </xf>
    <xf numFmtId="0" fontId="122" fillId="12" borderId="43" xfId="0" applyFont="1" applyFill="1" applyBorder="1" applyAlignment="1">
      <alignment horizontal="left" vertical="center"/>
    </xf>
    <xf numFmtId="0" fontId="122" fillId="12" borderId="34" xfId="0" applyFont="1" applyFill="1" applyBorder="1" applyAlignment="1">
      <alignment horizontal="left" vertical="center"/>
    </xf>
    <xf numFmtId="0" fontId="66" fillId="19" borderId="37" xfId="0" applyFont="1" applyFill="1" applyBorder="1" applyAlignment="1">
      <alignment horizontal="left" vertical="center" wrapText="1"/>
    </xf>
    <xf numFmtId="0" fontId="66" fillId="19" borderId="32" xfId="0" applyFont="1" applyFill="1" applyBorder="1" applyAlignment="1">
      <alignment horizontal="left" vertical="center" wrapText="1"/>
    </xf>
    <xf numFmtId="0" fontId="121" fillId="2" borderId="36" xfId="1" applyFont="1" applyFill="1" applyBorder="1" applyAlignment="1">
      <alignment horizontal="left" vertical="center"/>
    </xf>
    <xf numFmtId="0" fontId="121" fillId="2" borderId="38" xfId="1" applyFont="1" applyFill="1" applyBorder="1" applyAlignment="1">
      <alignment horizontal="left" vertical="center"/>
    </xf>
    <xf numFmtId="0" fontId="121" fillId="2" borderId="37" xfId="1" applyFont="1" applyFill="1" applyBorder="1" applyAlignment="1">
      <alignment horizontal="left" vertical="center"/>
    </xf>
    <xf numFmtId="0" fontId="72" fillId="12" borderId="37" xfId="0" applyFont="1" applyFill="1" applyBorder="1" applyAlignment="1">
      <alignment horizontal="left" vertical="center" wrapText="1"/>
    </xf>
    <xf numFmtId="0" fontId="72" fillId="0" borderId="32" xfId="0" applyFont="1" applyBorder="1" applyAlignment="1">
      <alignment horizontal="left" vertical="center" wrapText="1"/>
    </xf>
    <xf numFmtId="0" fontId="66" fillId="14" borderId="37" xfId="0" applyFont="1" applyFill="1" applyBorder="1" applyAlignment="1">
      <alignment horizontal="left" vertical="center" wrapText="1"/>
    </xf>
    <xf numFmtId="0" fontId="66" fillId="14" borderId="32" xfId="0" applyFont="1" applyFill="1" applyBorder="1" applyAlignment="1">
      <alignment horizontal="left" vertical="center" wrapText="1"/>
    </xf>
    <xf numFmtId="0" fontId="124" fillId="0" borderId="32" xfId="1" applyFont="1" applyFill="1" applyBorder="1" applyAlignment="1">
      <alignment horizontal="left" vertical="center" wrapText="1"/>
    </xf>
    <xf numFmtId="0" fontId="72" fillId="19" borderId="37" xfId="0" applyFont="1" applyFill="1" applyBorder="1" applyAlignment="1">
      <alignment horizontal="left" vertical="center" wrapText="1"/>
    </xf>
    <xf numFmtId="0" fontId="12" fillId="0" borderId="33" xfId="0" applyFont="1" applyBorder="1" applyAlignment="1">
      <alignment horizontal="center" vertical="center"/>
    </xf>
    <xf numFmtId="0" fontId="12" fillId="0" borderId="34" xfId="0" applyFont="1" applyBorder="1" applyAlignment="1">
      <alignment horizontal="center" vertical="center"/>
    </xf>
    <xf numFmtId="0" fontId="12" fillId="0" borderId="36" xfId="0" applyFont="1" applyBorder="1" applyAlignment="1">
      <alignment horizontal="left" vertical="center" wrapText="1"/>
    </xf>
    <xf numFmtId="0" fontId="12" fillId="0" borderId="38" xfId="0" applyFont="1" applyBorder="1" applyAlignment="1">
      <alignment horizontal="left" vertical="center" wrapText="1"/>
    </xf>
    <xf numFmtId="0" fontId="12" fillId="0" borderId="37" xfId="0" applyFont="1" applyBorder="1" applyAlignment="1">
      <alignment horizontal="left" vertical="center" wrapText="1"/>
    </xf>
    <xf numFmtId="0" fontId="12" fillId="0" borderId="36" xfId="0" applyFont="1" applyBorder="1" applyAlignment="1">
      <alignment horizontal="left" vertical="center"/>
    </xf>
    <xf numFmtId="0" fontId="12" fillId="0" borderId="38" xfId="0" applyFont="1" applyBorder="1" applyAlignment="1">
      <alignment horizontal="left" vertical="center"/>
    </xf>
    <xf numFmtId="0" fontId="12" fillId="0" borderId="37" xfId="0" applyFont="1" applyBorder="1" applyAlignment="1">
      <alignment horizontal="left" vertical="center"/>
    </xf>
    <xf numFmtId="0" fontId="12" fillId="2" borderId="36" xfId="0" applyFont="1" applyFill="1" applyBorder="1" applyAlignment="1">
      <alignment horizontal="left" vertical="center" wrapText="1"/>
    </xf>
    <xf numFmtId="0" fontId="12" fillId="2" borderId="38" xfId="0" applyFont="1" applyFill="1" applyBorder="1" applyAlignment="1">
      <alignment horizontal="left" vertical="center" wrapText="1"/>
    </xf>
    <xf numFmtId="0" fontId="12" fillId="2" borderId="37" xfId="0" applyFont="1" applyFill="1" applyBorder="1" applyAlignment="1">
      <alignment horizontal="left" vertical="center" wrapText="1"/>
    </xf>
    <xf numFmtId="0" fontId="12" fillId="0" borderId="63" xfId="0" applyFont="1" applyBorder="1" applyAlignment="1">
      <alignment horizontal="left" vertical="center"/>
    </xf>
    <xf numFmtId="0" fontId="12" fillId="0" borderId="67" xfId="0" applyFont="1" applyBorder="1" applyAlignment="1">
      <alignment horizontal="left" vertical="center"/>
    </xf>
    <xf numFmtId="0" fontId="12" fillId="0" borderId="68" xfId="0" applyFont="1" applyBorder="1" applyAlignment="1">
      <alignment horizontal="left" vertical="center"/>
    </xf>
    <xf numFmtId="0" fontId="63" fillId="37" borderId="84" xfId="0" applyFont="1" applyFill="1" applyBorder="1" applyAlignment="1">
      <alignment horizontal="left" vertical="center" wrapText="1"/>
    </xf>
    <xf numFmtId="0" fontId="63" fillId="37" borderId="84" xfId="0" applyFont="1" applyFill="1" applyBorder="1" applyAlignment="1">
      <alignment horizontal="left" vertical="center"/>
    </xf>
    <xf numFmtId="0" fontId="60" fillId="2" borderId="0" xfId="0" applyFont="1" applyFill="1" applyAlignment="1">
      <alignment horizontal="left" vertical="center"/>
    </xf>
    <xf numFmtId="0" fontId="19" fillId="13" borderId="40" xfId="0" applyFont="1" applyFill="1" applyBorder="1" applyAlignment="1">
      <alignment horizontal="left" vertical="center"/>
    </xf>
    <xf numFmtId="0" fontId="19" fillId="13" borderId="41" xfId="0" applyFont="1" applyFill="1" applyBorder="1" applyAlignment="1">
      <alignment horizontal="left" vertical="center"/>
    </xf>
    <xf numFmtId="0" fontId="19" fillId="13" borderId="42" xfId="0" applyFont="1" applyFill="1" applyBorder="1" applyAlignment="1">
      <alignment horizontal="left" vertical="center"/>
    </xf>
    <xf numFmtId="0" fontId="19" fillId="13" borderId="43" xfId="0" applyFont="1" applyFill="1" applyBorder="1" applyAlignment="1">
      <alignment horizontal="left" vertical="center"/>
    </xf>
    <xf numFmtId="0" fontId="13" fillId="0" borderId="59" xfId="0" applyFont="1" applyBorder="1" applyAlignment="1">
      <alignment horizontal="left" vertical="center" wrapText="1"/>
    </xf>
    <xf numFmtId="0" fontId="66" fillId="19" borderId="43" xfId="0" applyFont="1" applyFill="1" applyBorder="1" applyAlignment="1">
      <alignment horizontal="left" vertical="center" wrapText="1"/>
    </xf>
    <xf numFmtId="0" fontId="66" fillId="19" borderId="34" xfId="0" applyFont="1" applyFill="1" applyBorder="1" applyAlignment="1">
      <alignment horizontal="left" vertical="center" wrapText="1"/>
    </xf>
    <xf numFmtId="0" fontId="12" fillId="2" borderId="63" xfId="0" applyFont="1" applyFill="1" applyBorder="1" applyAlignment="1">
      <alignment horizontal="left" vertical="center" wrapText="1"/>
    </xf>
    <xf numFmtId="0" fontId="12" fillId="2" borderId="67" xfId="0" applyFont="1" applyFill="1" applyBorder="1" applyAlignment="1">
      <alignment horizontal="left" vertical="center" wrapText="1"/>
    </xf>
    <xf numFmtId="0" fontId="12" fillId="2" borderId="68" xfId="0" applyFont="1" applyFill="1" applyBorder="1" applyAlignment="1">
      <alignment horizontal="left" vertical="center" wrapText="1"/>
    </xf>
    <xf numFmtId="0" fontId="116" fillId="2" borderId="0" xfId="0" applyFont="1" applyFill="1" applyAlignment="1">
      <alignment horizontal="left" vertical="center" wrapText="1"/>
    </xf>
    <xf numFmtId="0" fontId="119" fillId="2" borderId="0" xfId="0" applyFont="1" applyFill="1" applyAlignment="1">
      <alignment horizontal="center" vertical="center" wrapText="1"/>
    </xf>
    <xf numFmtId="0" fontId="119" fillId="2" borderId="0" xfId="0" applyFont="1" applyFill="1" applyAlignment="1">
      <alignment horizontal="left" vertical="center" wrapText="1"/>
    </xf>
    <xf numFmtId="0" fontId="13" fillId="0" borderId="36" xfId="0" applyFont="1" applyBorder="1" applyAlignment="1">
      <alignment horizontal="left" vertical="center" wrapText="1"/>
    </xf>
    <xf numFmtId="0" fontId="19" fillId="37" borderId="32" xfId="0" applyFont="1" applyFill="1" applyBorder="1" applyAlignment="1">
      <alignment horizontal="left" vertical="center" wrapText="1"/>
    </xf>
    <xf numFmtId="0" fontId="19" fillId="37" borderId="33" xfId="0" applyFont="1" applyFill="1" applyBorder="1" applyAlignment="1">
      <alignment horizontal="left" vertical="center" wrapText="1"/>
    </xf>
    <xf numFmtId="0" fontId="125" fillId="12" borderId="62" xfId="0" applyFont="1" applyFill="1" applyBorder="1" applyAlignment="1">
      <alignment horizontal="left" vertical="center" wrapText="1"/>
    </xf>
    <xf numFmtId="0" fontId="19" fillId="37" borderId="32" xfId="0" applyFont="1" applyFill="1" applyBorder="1" applyAlignment="1">
      <alignment horizontal="center" vertical="center" wrapText="1"/>
    </xf>
    <xf numFmtId="0" fontId="19" fillId="37" borderId="33" xfId="0" applyFont="1" applyFill="1" applyBorder="1" applyAlignment="1">
      <alignment horizontal="center" vertical="center" wrapText="1"/>
    </xf>
    <xf numFmtId="0" fontId="13" fillId="15" borderId="32" xfId="0" applyFont="1" applyFill="1" applyBorder="1" applyAlignment="1">
      <alignment horizontal="center" vertical="center"/>
    </xf>
    <xf numFmtId="0" fontId="13" fillId="15" borderId="59" xfId="0" applyFont="1" applyFill="1" applyBorder="1" applyAlignment="1">
      <alignment horizontal="center" vertical="center"/>
    </xf>
    <xf numFmtId="0" fontId="66" fillId="15" borderId="58" xfId="0" applyFont="1" applyFill="1" applyBorder="1" applyAlignment="1">
      <alignment horizontal="center" vertical="center" wrapText="1"/>
    </xf>
    <xf numFmtId="0" fontId="66" fillId="15" borderId="32" xfId="0" applyFont="1" applyFill="1" applyBorder="1" applyAlignment="1">
      <alignment horizontal="center" vertical="center" wrapText="1"/>
    </xf>
    <xf numFmtId="0" fontId="12" fillId="15" borderId="69" xfId="0" applyFont="1" applyFill="1" applyBorder="1" applyAlignment="1">
      <alignment horizontal="center" vertical="center" wrapText="1"/>
    </xf>
    <xf numFmtId="0" fontId="12" fillId="15" borderId="61" xfId="0" applyFont="1" applyFill="1" applyBorder="1" applyAlignment="1">
      <alignment horizontal="center" vertical="center" wrapText="1"/>
    </xf>
    <xf numFmtId="0" fontId="12" fillId="15" borderId="70" xfId="0" applyFont="1" applyFill="1" applyBorder="1" applyAlignment="1">
      <alignment horizontal="center" vertical="center" wrapText="1"/>
    </xf>
    <xf numFmtId="0" fontId="12" fillId="15" borderId="71" xfId="0" applyFont="1" applyFill="1" applyBorder="1" applyAlignment="1">
      <alignment horizontal="center" vertical="center" wrapText="1"/>
    </xf>
    <xf numFmtId="0" fontId="12" fillId="15" borderId="29" xfId="0" applyFont="1" applyFill="1" applyBorder="1" applyAlignment="1">
      <alignment horizontal="center" vertical="center" wrapText="1"/>
    </xf>
    <xf numFmtId="0" fontId="12" fillId="15" borderId="72" xfId="0" applyFont="1" applyFill="1" applyBorder="1" applyAlignment="1">
      <alignment horizontal="center" vertical="center" wrapText="1"/>
    </xf>
    <xf numFmtId="0" fontId="65" fillId="0" borderId="32" xfId="0" applyFont="1" applyBorder="1" applyAlignment="1">
      <alignment horizontal="left" vertical="center" wrapText="1"/>
    </xf>
    <xf numFmtId="0" fontId="12" fillId="0" borderId="32" xfId="0" applyFont="1" applyBorder="1" applyAlignment="1">
      <alignment horizontal="center" vertical="center" wrapText="1"/>
    </xf>
    <xf numFmtId="0" fontId="66" fillId="14" borderId="62" xfId="0" applyFont="1" applyFill="1" applyBorder="1" applyAlignment="1">
      <alignment horizontal="left" vertical="center" wrapText="1"/>
    </xf>
    <xf numFmtId="0" fontId="12" fillId="2" borderId="33" xfId="0" applyFont="1" applyFill="1" applyBorder="1" applyAlignment="1">
      <alignment horizontal="right" vertical="center" wrapText="1"/>
    </xf>
    <xf numFmtId="0" fontId="12" fillId="2" borderId="64" xfId="0" applyFont="1" applyFill="1" applyBorder="1" applyAlignment="1">
      <alignment horizontal="right" vertical="center"/>
    </xf>
    <xf numFmtId="0" fontId="66" fillId="14" borderId="65" xfId="0" applyFont="1" applyFill="1" applyBorder="1" applyAlignment="1">
      <alignment horizontal="left" vertical="center" wrapText="1"/>
    </xf>
    <xf numFmtId="0" fontId="66" fillId="14" borderId="66" xfId="0" applyFont="1" applyFill="1" applyBorder="1" applyAlignment="1">
      <alignment horizontal="left" vertical="center" wrapText="1"/>
    </xf>
    <xf numFmtId="0" fontId="11" fillId="0" borderId="37" xfId="0" applyFont="1" applyBorder="1" applyAlignment="1">
      <alignment horizontal="left" vertical="center"/>
    </xf>
    <xf numFmtId="0" fontId="11" fillId="0" borderId="32" xfId="0" applyFont="1" applyBorder="1" applyAlignment="1">
      <alignment horizontal="left" vertical="center"/>
    </xf>
    <xf numFmtId="0" fontId="121" fillId="2" borderId="36" xfId="1" applyFont="1" applyFill="1" applyBorder="1" applyAlignment="1">
      <alignment horizontal="left" vertical="center" wrapText="1"/>
    </xf>
    <xf numFmtId="0" fontId="121" fillId="2" borderId="38" xfId="1" applyFont="1" applyFill="1" applyBorder="1" applyAlignment="1">
      <alignment horizontal="left" vertical="center" wrapText="1"/>
    </xf>
    <xf numFmtId="0" fontId="121" fillId="2" borderId="37" xfId="1" applyFont="1" applyFill="1" applyBorder="1" applyAlignment="1">
      <alignment horizontal="left" vertical="center" wrapText="1"/>
    </xf>
    <xf numFmtId="0" fontId="161" fillId="0" borderId="0" xfId="0" applyFont="1" applyAlignment="1">
      <alignment horizontal="left" vertical="center"/>
    </xf>
    <xf numFmtId="0" fontId="66" fillId="2" borderId="55" xfId="0" applyFont="1" applyFill="1" applyBorder="1" applyAlignment="1">
      <alignment horizontal="left" vertical="center" wrapText="1"/>
    </xf>
    <xf numFmtId="0" fontId="66" fillId="2" borderId="56" xfId="0" applyFont="1" applyFill="1" applyBorder="1" applyAlignment="1">
      <alignment horizontal="left" vertical="center" wrapText="1"/>
    </xf>
    <xf numFmtId="0" fontId="66" fillId="0" borderId="55" xfId="0" applyFont="1" applyBorder="1" applyAlignment="1">
      <alignment horizontal="left" vertical="center" wrapText="1"/>
    </xf>
    <xf numFmtId="0" fontId="66" fillId="0" borderId="7" xfId="0" applyFont="1" applyBorder="1" applyAlignment="1">
      <alignment horizontal="left" vertical="center" wrapText="1"/>
    </xf>
    <xf numFmtId="0" fontId="66" fillId="0" borderId="56" xfId="0" applyFont="1" applyBorder="1" applyAlignment="1">
      <alignment horizontal="left" vertical="center" wrapText="1"/>
    </xf>
    <xf numFmtId="0" fontId="27" fillId="2" borderId="0" xfId="0" applyFont="1" applyFill="1" applyAlignment="1">
      <alignment horizontal="left" vertical="center" wrapText="1"/>
    </xf>
    <xf numFmtId="0" fontId="125" fillId="2" borderId="55" xfId="0" applyFont="1" applyFill="1" applyBorder="1" applyAlignment="1">
      <alignment horizontal="left" vertical="center"/>
    </xf>
    <xf numFmtId="0" fontId="125" fillId="2" borderId="7" xfId="0" applyFont="1" applyFill="1" applyBorder="1" applyAlignment="1">
      <alignment horizontal="left" vertical="center"/>
    </xf>
    <xf numFmtId="0" fontId="125" fillId="2" borderId="56" xfId="0" applyFont="1" applyFill="1" applyBorder="1" applyAlignment="1">
      <alignment horizontal="left" vertical="center"/>
    </xf>
    <xf numFmtId="0" fontId="66" fillId="4" borderId="58" xfId="0" applyFont="1" applyFill="1" applyBorder="1" applyAlignment="1">
      <alignment horizontal="left" vertical="center"/>
    </xf>
    <xf numFmtId="0" fontId="66" fillId="4" borderId="32" xfId="0" applyFont="1" applyFill="1" applyBorder="1" applyAlignment="1">
      <alignment horizontal="left" vertical="center"/>
    </xf>
    <xf numFmtId="0" fontId="66" fillId="4" borderId="59" xfId="0" applyFont="1" applyFill="1" applyBorder="1" applyAlignment="1">
      <alignment horizontal="left" vertical="center"/>
    </xf>
    <xf numFmtId="0" fontId="13" fillId="19" borderId="58" xfId="0" applyFont="1" applyFill="1" applyBorder="1" applyAlignment="1">
      <alignment horizontal="left" vertical="center" wrapText="1"/>
    </xf>
    <xf numFmtId="0" fontId="13" fillId="19" borderId="32" xfId="0" applyFont="1" applyFill="1" applyBorder="1" applyAlignment="1">
      <alignment horizontal="left" vertical="center" wrapText="1"/>
    </xf>
    <xf numFmtId="0" fontId="66" fillId="4" borderId="51" xfId="0" applyFont="1" applyFill="1" applyBorder="1" applyAlignment="1">
      <alignment horizontal="left" vertical="center" wrapText="1"/>
    </xf>
    <xf numFmtId="0" fontId="66" fillId="4" borderId="32" xfId="0" applyFont="1" applyFill="1" applyBorder="1" applyAlignment="1">
      <alignment horizontal="left" vertical="center" wrapText="1"/>
    </xf>
    <xf numFmtId="0" fontId="66" fillId="4" borderId="52" xfId="0" applyFont="1" applyFill="1" applyBorder="1" applyAlignment="1">
      <alignment horizontal="left" vertical="center" wrapText="1"/>
    </xf>
    <xf numFmtId="0" fontId="13" fillId="2" borderId="32" xfId="0" applyFont="1" applyFill="1" applyBorder="1" applyAlignment="1">
      <alignment horizontal="left" vertical="center" wrapText="1"/>
    </xf>
    <xf numFmtId="0" fontId="166" fillId="4" borderId="37" xfId="0" applyFont="1" applyFill="1" applyBorder="1" applyAlignment="1">
      <alignment horizontal="right" vertical="center" wrapText="1"/>
    </xf>
    <xf numFmtId="0" fontId="13" fillId="2" borderId="58" xfId="0" applyFont="1" applyFill="1" applyBorder="1" applyAlignment="1">
      <alignment horizontal="left" vertical="center"/>
    </xf>
    <xf numFmtId="0" fontId="13" fillId="2" borderId="32" xfId="0" applyFont="1" applyFill="1" applyBorder="1" applyAlignment="1">
      <alignment horizontal="left" vertical="center"/>
    </xf>
    <xf numFmtId="0" fontId="108" fillId="0" borderId="0" xfId="0" applyFont="1" applyAlignment="1">
      <alignment horizontal="left" wrapText="1"/>
    </xf>
    <xf numFmtId="0" fontId="161" fillId="5" borderId="0" xfId="0" applyFont="1" applyFill="1" applyAlignment="1">
      <alignment horizontal="left"/>
    </xf>
    <xf numFmtId="0" fontId="43" fillId="6" borderId="0" xfId="0" applyFont="1" applyFill="1" applyAlignment="1">
      <alignment horizontal="center" vertical="center"/>
    </xf>
    <xf numFmtId="0" fontId="81" fillId="10" borderId="7" xfId="0" applyFont="1" applyFill="1" applyBorder="1" applyAlignment="1">
      <alignment horizontal="center" vertical="center"/>
    </xf>
    <xf numFmtId="0" fontId="56" fillId="2" borderId="0" xfId="0" applyFont="1" applyFill="1" applyAlignment="1">
      <alignment horizontal="left" vertical="center" wrapText="1" indent="1"/>
    </xf>
    <xf numFmtId="0" fontId="60" fillId="5" borderId="0" xfId="0" applyFont="1" applyFill="1" applyAlignment="1">
      <alignment horizontal="left" vertical="center"/>
    </xf>
    <xf numFmtId="0" fontId="83" fillId="10" borderId="7" xfId="0" applyFont="1" applyFill="1" applyBorder="1" applyAlignment="1">
      <alignment horizontal="left" vertical="center"/>
    </xf>
    <xf numFmtId="0" fontId="52" fillId="10" borderId="7" xfId="0" applyFont="1" applyFill="1" applyBorder="1" applyAlignment="1">
      <alignment horizontal="left" vertical="center" wrapText="1"/>
    </xf>
    <xf numFmtId="0" fontId="52" fillId="10" borderId="8" xfId="0" applyFont="1" applyFill="1" applyBorder="1" applyAlignment="1">
      <alignment horizontal="center" vertical="center"/>
    </xf>
    <xf numFmtId="0" fontId="52" fillId="10" borderId="9" xfId="0" applyFont="1" applyFill="1" applyBorder="1" applyAlignment="1">
      <alignment horizontal="center" vertical="center"/>
    </xf>
    <xf numFmtId="0" fontId="52" fillId="22" borderId="10" xfId="0" applyFont="1" applyFill="1" applyBorder="1" applyAlignment="1">
      <alignment horizontal="center" vertical="center" wrapText="1"/>
    </xf>
    <xf numFmtId="0" fontId="52" fillId="22" borderId="11" xfId="0" applyFont="1" applyFill="1" applyBorder="1" applyAlignment="1">
      <alignment horizontal="center" vertical="center" wrapText="1"/>
    </xf>
    <xf numFmtId="0" fontId="52" fillId="22" borderId="12" xfId="0" applyFont="1" applyFill="1" applyBorder="1" applyAlignment="1">
      <alignment horizontal="center" vertical="center" wrapText="1"/>
    </xf>
    <xf numFmtId="0" fontId="81" fillId="22" borderId="10" xfId="0" applyFont="1" applyFill="1" applyBorder="1" applyAlignment="1">
      <alignment horizontal="center" vertical="center"/>
    </xf>
    <xf numFmtId="0" fontId="81" fillId="22" borderId="11" xfId="0" applyFont="1" applyFill="1" applyBorder="1" applyAlignment="1">
      <alignment horizontal="center" vertical="center"/>
    </xf>
    <xf numFmtId="0" fontId="81" fillId="22" borderId="12" xfId="0" applyFont="1" applyFill="1" applyBorder="1" applyAlignment="1">
      <alignment horizontal="center" vertical="center"/>
    </xf>
    <xf numFmtId="0" fontId="81" fillId="22" borderId="7" xfId="0" applyFont="1" applyFill="1" applyBorder="1" applyAlignment="1">
      <alignment horizontal="center" vertical="center"/>
    </xf>
    <xf numFmtId="0" fontId="37" fillId="5" borderId="0" xfId="0" applyFont="1" applyFill="1" applyAlignment="1">
      <alignment vertical="top" wrapText="1"/>
    </xf>
    <xf numFmtId="0" fontId="52" fillId="10" borderId="7" xfId="0" applyFont="1" applyFill="1" applyBorder="1" applyAlignment="1">
      <alignment horizontal="center" vertical="center" wrapText="1"/>
    </xf>
    <xf numFmtId="0" fontId="43" fillId="6" borderId="0" xfId="0" applyFont="1" applyFill="1" applyAlignment="1">
      <alignment horizontal="center"/>
    </xf>
    <xf numFmtId="0" fontId="167" fillId="5" borderId="0" xfId="0" applyFont="1" applyFill="1" applyAlignment="1">
      <alignment horizontal="left" vertical="center" wrapText="1"/>
    </xf>
    <xf numFmtId="0" fontId="43" fillId="39" borderId="0" xfId="0" applyFont="1" applyFill="1" applyAlignment="1">
      <alignment horizontal="center" vertical="center"/>
    </xf>
    <xf numFmtId="0" fontId="83" fillId="10" borderId="32" xfId="0" applyFont="1" applyFill="1" applyBorder="1" applyAlignment="1">
      <alignment horizontal="left" vertical="center"/>
    </xf>
    <xf numFmtId="0" fontId="52" fillId="10" borderId="32" xfId="0" applyFont="1" applyFill="1" applyBorder="1" applyAlignment="1">
      <alignment horizontal="left" vertical="center" wrapText="1"/>
    </xf>
    <xf numFmtId="166" fontId="24" fillId="27" borderId="32" xfId="2" applyNumberFormat="1" applyFont="1" applyFill="1" applyBorder="1" applyAlignment="1">
      <alignment horizontal="center" vertical="center" wrapText="1"/>
    </xf>
    <xf numFmtId="164" fontId="117" fillId="17" borderId="32" xfId="2" applyNumberFormat="1" applyFont="1" applyFill="1" applyBorder="1" applyAlignment="1">
      <alignment horizontal="center" vertical="center" wrapText="1"/>
    </xf>
    <xf numFmtId="0" fontId="58" fillId="26" borderId="28" xfId="0" applyFont="1" applyFill="1" applyBorder="1" applyAlignment="1">
      <alignment horizontal="left" vertical="center" wrapText="1"/>
    </xf>
    <xf numFmtId="0" fontId="58" fillId="26" borderId="29" xfId="0" applyFont="1" applyFill="1" applyBorder="1" applyAlignment="1">
      <alignment horizontal="left" vertical="center" wrapText="1"/>
    </xf>
    <xf numFmtId="0" fontId="25" fillId="26" borderId="28" xfId="0" applyFont="1" applyFill="1" applyBorder="1" applyAlignment="1">
      <alignment horizontal="center" vertical="center"/>
    </xf>
    <xf numFmtId="0" fontId="25" fillId="26" borderId="29" xfId="0" applyFont="1" applyFill="1" applyBorder="1" applyAlignment="1">
      <alignment horizontal="center" vertical="center"/>
    </xf>
    <xf numFmtId="0" fontId="25" fillId="26" borderId="10" xfId="0" applyFont="1" applyFill="1" applyBorder="1" applyAlignment="1">
      <alignment horizontal="center" vertical="center"/>
    </xf>
    <xf numFmtId="0" fontId="25" fillId="26" borderId="12" xfId="0" applyFont="1" applyFill="1" applyBorder="1" applyAlignment="1">
      <alignment horizontal="center" vertical="center"/>
    </xf>
    <xf numFmtId="166" fontId="8" fillId="0" borderId="32" xfId="2" applyNumberFormat="1" applyFont="1" applyBorder="1" applyAlignment="1">
      <alignment horizontal="center" vertical="center" wrapText="1"/>
    </xf>
    <xf numFmtId="164" fontId="117" fillId="27" borderId="32" xfId="3" applyNumberFormat="1" applyFont="1" applyFill="1" applyBorder="1" applyAlignment="1">
      <alignment horizontal="center" vertical="center" wrapText="1"/>
    </xf>
    <xf numFmtId="0" fontId="43" fillId="39" borderId="32" xfId="0" applyFont="1" applyFill="1" applyBorder="1" applyAlignment="1">
      <alignment horizontal="center" vertical="center" wrapText="1"/>
    </xf>
    <xf numFmtId="0" fontId="82" fillId="24" borderId="49" xfId="0" applyFont="1" applyFill="1" applyBorder="1" applyAlignment="1">
      <alignment horizontal="center" vertical="center" wrapText="1"/>
    </xf>
    <xf numFmtId="0" fontId="82" fillId="24" borderId="48" xfId="0" applyFont="1" applyFill="1" applyBorder="1" applyAlignment="1">
      <alignment horizontal="center" vertical="center" wrapText="1"/>
    </xf>
    <xf numFmtId="0" fontId="16" fillId="37" borderId="32" xfId="0" applyFont="1" applyFill="1" applyBorder="1" applyAlignment="1">
      <alignment horizontal="center" vertical="center" wrapText="1"/>
    </xf>
    <xf numFmtId="0" fontId="25" fillId="37" borderId="32" xfId="0" applyFont="1" applyFill="1" applyBorder="1" applyAlignment="1">
      <alignment horizontal="center" vertical="center" wrapText="1"/>
    </xf>
    <xf numFmtId="0" fontId="82" fillId="24" borderId="8" xfId="0" applyFont="1" applyFill="1" applyBorder="1" applyAlignment="1">
      <alignment horizontal="center" vertical="center" wrapText="1"/>
    </xf>
    <xf numFmtId="0" fontId="82" fillId="24" borderId="9" xfId="0" applyFont="1" applyFill="1" applyBorder="1" applyAlignment="1">
      <alignment horizontal="center" vertical="center" wrapText="1"/>
    </xf>
    <xf numFmtId="0" fontId="86" fillId="23" borderId="32" xfId="0" applyFont="1" applyFill="1" applyBorder="1" applyAlignment="1">
      <alignment horizontal="center" vertical="center" wrapText="1"/>
    </xf>
    <xf numFmtId="0" fontId="8" fillId="2" borderId="0" xfId="0" applyFont="1" applyFill="1" applyAlignment="1">
      <alignment horizontal="center" wrapText="1"/>
    </xf>
    <xf numFmtId="0" fontId="58" fillId="37" borderId="32" xfId="0" applyFont="1" applyFill="1" applyBorder="1" applyAlignment="1">
      <alignment horizontal="left" vertical="center" wrapText="1"/>
    </xf>
    <xf numFmtId="0" fontId="16" fillId="26" borderId="32" xfId="0" applyFont="1" applyFill="1" applyBorder="1" applyAlignment="1">
      <alignment horizontal="center" vertical="center" wrapText="1"/>
    </xf>
    <xf numFmtId="166" fontId="8" fillId="17" borderId="32" xfId="2" applyNumberFormat="1" applyFont="1" applyFill="1" applyBorder="1" applyAlignment="1">
      <alignment horizontal="center" vertical="center" wrapText="1"/>
    </xf>
    <xf numFmtId="0" fontId="6" fillId="19" borderId="13" xfId="0" applyFont="1" applyFill="1" applyBorder="1" applyAlignment="1">
      <alignment horizontal="right" vertical="center"/>
    </xf>
    <xf numFmtId="0" fontId="16" fillId="19" borderId="8" xfId="0" applyFont="1" applyFill="1" applyBorder="1" applyAlignment="1">
      <alignment horizontal="center" vertical="center" wrapText="1"/>
    </xf>
    <xf numFmtId="0" fontId="13" fillId="18" borderId="2" xfId="0" applyFont="1" applyFill="1" applyBorder="1" applyAlignment="1">
      <alignment vertical="center" wrapText="1"/>
    </xf>
    <xf numFmtId="164" fontId="117" fillId="27" borderId="32" xfId="2" applyNumberFormat="1" applyFont="1" applyFill="1" applyBorder="1" applyAlignment="1">
      <alignment horizontal="center" vertical="center" wrapText="1"/>
    </xf>
    <xf numFmtId="0" fontId="16" fillId="37" borderId="32" xfId="0" applyFont="1" applyFill="1" applyBorder="1" applyAlignment="1">
      <alignment horizontal="center" vertical="center"/>
    </xf>
    <xf numFmtId="0" fontId="6" fillId="19" borderId="0" xfId="0" applyFont="1" applyFill="1" applyAlignment="1">
      <alignment horizontal="center" vertical="center" wrapText="1"/>
    </xf>
    <xf numFmtId="164" fontId="128" fillId="2" borderId="32" xfId="2" applyNumberFormat="1" applyFont="1" applyFill="1" applyBorder="1" applyAlignment="1">
      <alignment horizontal="center" vertical="center" wrapText="1"/>
    </xf>
    <xf numFmtId="164" fontId="7" fillId="27" borderId="26" xfId="2" applyNumberFormat="1" applyFont="1" applyFill="1" applyBorder="1" applyAlignment="1">
      <alignment horizontal="center" vertical="center" wrapText="1"/>
    </xf>
    <xf numFmtId="164" fontId="7" fillId="27" borderId="47" xfId="2" applyNumberFormat="1" applyFont="1" applyFill="1" applyBorder="1" applyAlignment="1">
      <alignment horizontal="center" vertical="center" wrapText="1"/>
    </xf>
    <xf numFmtId="164" fontId="7" fillId="27" borderId="48" xfId="2" applyNumberFormat="1" applyFont="1" applyFill="1" applyBorder="1" applyAlignment="1">
      <alignment horizontal="center" vertical="center" wrapText="1"/>
    </xf>
    <xf numFmtId="166" fontId="117" fillId="0" borderId="32" xfId="2" applyNumberFormat="1" applyFont="1" applyBorder="1" applyAlignment="1">
      <alignment horizontal="right" vertical="center" wrapText="1"/>
    </xf>
    <xf numFmtId="166" fontId="117" fillId="2" borderId="32" xfId="2" applyNumberFormat="1" applyFont="1" applyFill="1" applyBorder="1" applyAlignment="1">
      <alignment horizontal="right" vertical="center" wrapText="1"/>
    </xf>
    <xf numFmtId="166" fontId="116" fillId="0" borderId="32" xfId="2" applyNumberFormat="1" applyFont="1" applyBorder="1" applyAlignment="1">
      <alignment horizontal="center" vertical="center" wrapText="1"/>
    </xf>
    <xf numFmtId="9" fontId="25" fillId="2" borderId="0" xfId="0" applyNumberFormat="1" applyFont="1" applyFill="1" applyAlignment="1">
      <alignment horizontal="center" vertical="center" wrapText="1"/>
    </xf>
    <xf numFmtId="0" fontId="25" fillId="2" borderId="0" xfId="0" applyFont="1" applyFill="1" applyAlignment="1">
      <alignment horizontal="center" vertical="center" wrapText="1"/>
    </xf>
    <xf numFmtId="0" fontId="81" fillId="0" borderId="0" xfId="0" applyFont="1" applyAlignment="1">
      <alignment horizontal="left" vertical="center" wrapText="1"/>
    </xf>
    <xf numFmtId="0" fontId="120" fillId="0" borderId="0" xfId="0" applyFont="1" applyAlignment="1">
      <alignment horizontal="left" vertical="center" wrapText="1"/>
    </xf>
    <xf numFmtId="0" fontId="134" fillId="2" borderId="0" xfId="0" applyFont="1" applyFill="1" applyAlignment="1">
      <alignment horizontal="center" vertical="top"/>
    </xf>
    <xf numFmtId="0" fontId="60" fillId="5" borderId="0" xfId="0" applyFont="1" applyFill="1" applyAlignment="1">
      <alignment horizontal="left" vertical="center" wrapText="1"/>
    </xf>
    <xf numFmtId="169" fontId="104" fillId="37" borderId="32" xfId="0" applyNumberFormat="1" applyFont="1" applyFill="1" applyBorder="1" applyAlignment="1">
      <alignment horizontal="center" vertical="center" wrapText="1"/>
    </xf>
    <xf numFmtId="169" fontId="105" fillId="37" borderId="32" xfId="0" applyNumberFormat="1" applyFont="1" applyFill="1" applyBorder="1" applyAlignment="1">
      <alignment horizontal="center" vertical="center" wrapText="1"/>
    </xf>
    <xf numFmtId="169" fontId="104" fillId="37" borderId="32" xfId="0" applyNumberFormat="1" applyFont="1" applyFill="1" applyBorder="1" applyAlignment="1">
      <alignment horizontal="left" vertical="center"/>
    </xf>
    <xf numFmtId="0" fontId="57" fillId="37" borderId="6" xfId="0" applyFont="1" applyFill="1" applyBorder="1" applyAlignment="1">
      <alignment horizontal="left" vertical="center"/>
    </xf>
    <xf numFmtId="0" fontId="63" fillId="37" borderId="6" xfId="0" applyFont="1" applyFill="1" applyBorder="1" applyAlignment="1">
      <alignment horizontal="left" vertical="center"/>
    </xf>
    <xf numFmtId="0" fontId="81" fillId="2" borderId="0" xfId="0" applyFont="1" applyFill="1" applyAlignment="1">
      <alignment horizontal="left" vertical="center" wrapText="1"/>
    </xf>
    <xf numFmtId="0" fontId="116" fillId="2" borderId="30" xfId="0" applyFont="1" applyFill="1" applyBorder="1" applyAlignment="1">
      <alignment horizontal="left" vertical="center" wrapText="1"/>
    </xf>
    <xf numFmtId="0" fontId="60" fillId="5" borderId="0" xfId="0" applyFont="1" applyFill="1" applyAlignment="1">
      <alignment horizontal="left" wrapText="1"/>
    </xf>
    <xf numFmtId="0" fontId="60" fillId="5" borderId="0" xfId="0" applyFont="1" applyFill="1" applyAlignment="1">
      <alignment horizontal="left"/>
    </xf>
    <xf numFmtId="0" fontId="81" fillId="2" borderId="0" xfId="0" applyFont="1" applyFill="1" applyAlignment="1">
      <alignment horizontal="left" vertical="top" wrapText="1"/>
    </xf>
    <xf numFmtId="0" fontId="166" fillId="2" borderId="0" xfId="0" applyFont="1" applyFill="1" applyAlignment="1">
      <alignment horizontal="left" vertical="top" wrapText="1"/>
    </xf>
    <xf numFmtId="0" fontId="89" fillId="5" borderId="0" xfId="0" applyFont="1" applyFill="1" applyAlignment="1">
      <alignment horizontal="left" vertical="center"/>
    </xf>
    <xf numFmtId="0" fontId="86" fillId="5" borderId="0" xfId="0" applyFont="1" applyFill="1" applyAlignment="1">
      <alignment vertical="center" wrapText="1"/>
    </xf>
    <xf numFmtId="0" fontId="37" fillId="5" borderId="0" xfId="0" applyFont="1" applyFill="1" applyAlignment="1">
      <alignment vertical="center" wrapText="1"/>
    </xf>
    <xf numFmtId="0" fontId="52" fillId="22" borderId="7" xfId="0" applyFont="1" applyFill="1" applyBorder="1" applyAlignment="1">
      <alignment horizontal="center" vertical="center" wrapText="1"/>
    </xf>
    <xf numFmtId="0" fontId="25" fillId="26" borderId="13" xfId="0" applyFont="1" applyFill="1" applyBorder="1" applyAlignment="1">
      <alignment horizontal="center" vertical="center"/>
    </xf>
    <xf numFmtId="0" fontId="99" fillId="0" borderId="16" xfId="0" applyFont="1" applyBorder="1" applyAlignment="1">
      <alignment vertical="center" wrapText="1"/>
    </xf>
    <xf numFmtId="0" fontId="65" fillId="0" borderId="16" xfId="0" applyFont="1" applyBorder="1" applyAlignment="1">
      <alignment vertical="center" wrapText="1"/>
    </xf>
    <xf numFmtId="0" fontId="10" fillId="19" borderId="8" xfId="0" applyFont="1" applyFill="1" applyBorder="1" applyAlignment="1">
      <alignment horizontal="center" vertical="center" wrapText="1"/>
    </xf>
    <xf numFmtId="0" fontId="8" fillId="31" borderId="0" xfId="0" applyFont="1" applyFill="1" applyAlignment="1">
      <alignment horizontal="center" wrapText="1"/>
    </xf>
    <xf numFmtId="0" fontId="12" fillId="19" borderId="27" xfId="0" applyFont="1" applyFill="1" applyBorder="1" applyAlignment="1">
      <alignment horizontal="left" vertical="center" wrapText="1"/>
    </xf>
    <xf numFmtId="0" fontId="12" fillId="19" borderId="31" xfId="0" applyFont="1" applyFill="1" applyBorder="1" applyAlignment="1">
      <alignment horizontal="left" vertical="center" wrapText="1"/>
    </xf>
    <xf numFmtId="0" fontId="12" fillId="19" borderId="22" xfId="0" applyFont="1" applyFill="1" applyBorder="1" applyAlignment="1">
      <alignment horizontal="left" vertical="center" wrapText="1"/>
    </xf>
    <xf numFmtId="0" fontId="13" fillId="2" borderId="16" xfId="0" applyFont="1" applyFill="1" applyBorder="1" applyAlignment="1">
      <alignment horizontal="left" vertical="center" wrapText="1"/>
    </xf>
    <xf numFmtId="166" fontId="6" fillId="19" borderId="16" xfId="2" applyNumberFormat="1" applyFont="1" applyFill="1" applyBorder="1" applyAlignment="1">
      <alignment horizontal="center" vertical="center"/>
    </xf>
    <xf numFmtId="9" fontId="6" fillId="19" borderId="17" xfId="3" applyFont="1" applyFill="1" applyBorder="1" applyAlignment="1">
      <alignment horizontal="center" vertical="center"/>
    </xf>
    <xf numFmtId="9" fontId="6" fillId="19" borderId="18" xfId="3" applyFont="1" applyFill="1" applyBorder="1" applyAlignment="1">
      <alignment horizontal="center" vertical="center"/>
    </xf>
    <xf numFmtId="166" fontId="6" fillId="19" borderId="17" xfId="2" applyNumberFormat="1" applyFont="1" applyFill="1" applyBorder="1" applyAlignment="1">
      <alignment horizontal="center" vertical="center"/>
    </xf>
    <xf numFmtId="166" fontId="6" fillId="19" borderId="18" xfId="2" applyNumberFormat="1" applyFont="1" applyFill="1" applyBorder="1" applyAlignment="1">
      <alignment horizontal="center" vertical="center"/>
    </xf>
    <xf numFmtId="0" fontId="16" fillId="26" borderId="23" xfId="0" applyFont="1" applyFill="1" applyBorder="1" applyAlignment="1">
      <alignment horizontal="center" vertical="center" wrapText="1"/>
    </xf>
    <xf numFmtId="0" fontId="16" fillId="26" borderId="24" xfId="0" applyFont="1" applyFill="1" applyBorder="1" applyAlignment="1">
      <alignment horizontal="center" vertical="center" wrapText="1"/>
    </xf>
    <xf numFmtId="0" fontId="16" fillId="26" borderId="25" xfId="0" applyFont="1" applyFill="1" applyBorder="1" applyAlignment="1">
      <alignment horizontal="center" vertical="center" wrapText="1"/>
    </xf>
    <xf numFmtId="166" fontId="8" fillId="0" borderId="7" xfId="2" applyNumberFormat="1" applyFont="1" applyBorder="1" applyAlignment="1">
      <alignment horizontal="center" vertical="center" wrapText="1"/>
    </xf>
    <xf numFmtId="0" fontId="58" fillId="26" borderId="7" xfId="0" applyFont="1" applyFill="1" applyBorder="1" applyAlignment="1">
      <alignment horizontal="left" vertical="center" wrapText="1"/>
    </xf>
    <xf numFmtId="0" fontId="58" fillId="26" borderId="8" xfId="0" applyFont="1" applyFill="1" applyBorder="1" applyAlignment="1">
      <alignment horizontal="left" vertical="center" wrapText="1"/>
    </xf>
    <xf numFmtId="0" fontId="25" fillId="26" borderId="7" xfId="0" applyFont="1" applyFill="1" applyBorder="1" applyAlignment="1">
      <alignment horizontal="center" vertical="center" wrapText="1"/>
    </xf>
    <xf numFmtId="0" fontId="25" fillId="26" borderId="8" xfId="0" applyFont="1" applyFill="1" applyBorder="1" applyAlignment="1">
      <alignment horizontal="center" vertical="center" wrapText="1"/>
    </xf>
    <xf numFmtId="0" fontId="25" fillId="26" borderId="19" xfId="0" applyFont="1" applyFill="1" applyBorder="1" applyAlignment="1">
      <alignment horizontal="center" vertical="center" wrapText="1"/>
    </xf>
    <xf numFmtId="0" fontId="25" fillId="26" borderId="0" xfId="0" applyFont="1" applyFill="1" applyAlignment="1">
      <alignment horizontal="center" vertical="center" wrapText="1"/>
    </xf>
    <xf numFmtId="0" fontId="25" fillId="26" borderId="20" xfId="0" applyFont="1" applyFill="1" applyBorder="1" applyAlignment="1">
      <alignment horizontal="center" vertical="center" wrapText="1"/>
    </xf>
    <xf numFmtId="0" fontId="25" fillId="26" borderId="10" xfId="0" applyFont="1" applyFill="1" applyBorder="1" applyAlignment="1">
      <alignment horizontal="center" vertical="center" wrapText="1"/>
    </xf>
    <xf numFmtId="0" fontId="25" fillId="26" borderId="12" xfId="0" applyFont="1" applyFill="1" applyBorder="1" applyAlignment="1">
      <alignment horizontal="center" vertical="center" wrapText="1"/>
    </xf>
    <xf numFmtId="0" fontId="16" fillId="26" borderId="7" xfId="0" applyFont="1" applyFill="1" applyBorder="1" applyAlignment="1">
      <alignment horizontal="center" vertical="center" wrapText="1"/>
    </xf>
    <xf numFmtId="0" fontId="16" fillId="26" borderId="10" xfId="0" applyFont="1" applyFill="1" applyBorder="1" applyAlignment="1">
      <alignment horizontal="center" vertical="center" wrapText="1"/>
    </xf>
    <xf numFmtId="0" fontId="12" fillId="2" borderId="7" xfId="0" applyFont="1" applyFill="1" applyBorder="1" applyAlignment="1">
      <alignment horizontal="left" vertical="center" wrapText="1"/>
    </xf>
    <xf numFmtId="166" fontId="8" fillId="17" borderId="8" xfId="2" applyNumberFormat="1" applyFont="1" applyFill="1" applyBorder="1" applyAlignment="1">
      <alignment horizontal="center" vertical="center" wrapText="1"/>
    </xf>
    <xf numFmtId="166" fontId="8" fillId="17" borderId="9" xfId="2" applyNumberFormat="1" applyFont="1" applyFill="1" applyBorder="1" applyAlignment="1">
      <alignment horizontal="center" vertical="center" wrapText="1"/>
    </xf>
    <xf numFmtId="0" fontId="8" fillId="2" borderId="0" xfId="0" applyFont="1" applyFill="1" applyAlignment="1">
      <alignment horizontal="center" vertical="center" wrapText="1"/>
    </xf>
    <xf numFmtId="0" fontId="13" fillId="2" borderId="7" xfId="0" applyFont="1" applyFill="1" applyBorder="1" applyAlignment="1">
      <alignment vertical="center" wrapText="1"/>
    </xf>
    <xf numFmtId="0" fontId="65" fillId="0" borderId="7" xfId="0" applyFont="1" applyBorder="1" applyAlignment="1">
      <alignment horizontal="left" vertical="center" wrapText="1"/>
    </xf>
    <xf numFmtId="166" fontId="6" fillId="27" borderId="10" xfId="2" applyNumberFormat="1" applyFont="1" applyFill="1" applyBorder="1" applyAlignment="1">
      <alignment horizontal="center" vertical="center" wrapText="1"/>
    </xf>
    <xf numFmtId="166" fontId="6" fillId="27" borderId="11" xfId="2" applyNumberFormat="1" applyFont="1" applyFill="1" applyBorder="1" applyAlignment="1">
      <alignment horizontal="center" vertical="center" wrapText="1"/>
    </xf>
    <xf numFmtId="166" fontId="6" fillId="27" borderId="12" xfId="2" applyNumberFormat="1" applyFont="1" applyFill="1" applyBorder="1" applyAlignment="1">
      <alignment horizontal="center" vertical="center" wrapText="1"/>
    </xf>
    <xf numFmtId="164" fontId="6" fillId="17" borderId="10" xfId="2" applyNumberFormat="1" applyFont="1" applyFill="1" applyBorder="1" applyAlignment="1">
      <alignment horizontal="center" vertical="center" wrapText="1"/>
    </xf>
    <xf numFmtId="164" fontId="6" fillId="17" borderId="11" xfId="2" applyNumberFormat="1" applyFont="1" applyFill="1" applyBorder="1" applyAlignment="1">
      <alignment horizontal="center" vertical="center" wrapText="1"/>
    </xf>
    <xf numFmtId="164" fontId="6" fillId="17" borderId="12" xfId="2" applyNumberFormat="1" applyFont="1" applyFill="1" applyBorder="1" applyAlignment="1">
      <alignment horizontal="center" vertical="center" wrapText="1"/>
    </xf>
    <xf numFmtId="164" fontId="6" fillId="27" borderId="10" xfId="2" applyNumberFormat="1" applyFont="1" applyFill="1" applyBorder="1" applyAlignment="1">
      <alignment horizontal="center" vertical="center" wrapText="1"/>
    </xf>
    <xf numFmtId="164" fontId="6" fillId="27" borderId="11" xfId="2" applyNumberFormat="1" applyFont="1" applyFill="1" applyBorder="1" applyAlignment="1">
      <alignment horizontal="center" vertical="center" wrapText="1"/>
    </xf>
    <xf numFmtId="164" fontId="6" fillId="27" borderId="12" xfId="2" applyNumberFormat="1" applyFont="1" applyFill="1" applyBorder="1" applyAlignment="1">
      <alignment horizontal="center" vertical="center" wrapText="1"/>
    </xf>
    <xf numFmtId="164" fontId="6" fillId="27" borderId="10" xfId="3" applyNumberFormat="1" applyFont="1" applyFill="1" applyBorder="1" applyAlignment="1">
      <alignment horizontal="center" vertical="center" wrapText="1"/>
    </xf>
    <xf numFmtId="164" fontId="6" fillId="27" borderId="11" xfId="3" applyNumberFormat="1" applyFont="1" applyFill="1" applyBorder="1" applyAlignment="1">
      <alignment horizontal="center" vertical="center" wrapText="1"/>
    </xf>
    <xf numFmtId="164" fontId="6" fillId="27" borderId="12" xfId="3" applyNumberFormat="1" applyFont="1" applyFill="1" applyBorder="1" applyAlignment="1">
      <alignment horizontal="center" vertical="center" wrapText="1"/>
    </xf>
    <xf numFmtId="0" fontId="13" fillId="2" borderId="8" xfId="0" applyFont="1" applyFill="1" applyBorder="1" applyAlignment="1">
      <alignment horizontal="left" vertical="center" wrapText="1"/>
    </xf>
    <xf numFmtId="0" fontId="13" fillId="2" borderId="9" xfId="0" applyFont="1" applyFill="1" applyBorder="1" applyAlignment="1">
      <alignment horizontal="left" vertical="center" wrapText="1"/>
    </xf>
    <xf numFmtId="164" fontId="6" fillId="2" borderId="10" xfId="2" applyNumberFormat="1" applyFont="1" applyFill="1" applyBorder="1" applyAlignment="1">
      <alignment horizontal="center" vertical="center" wrapText="1"/>
    </xf>
    <xf numFmtId="164" fontId="6" fillId="2" borderId="11" xfId="2" applyNumberFormat="1" applyFont="1" applyFill="1" applyBorder="1" applyAlignment="1">
      <alignment horizontal="center" vertical="center" wrapText="1"/>
    </xf>
    <xf numFmtId="164" fontId="6" fillId="2" borderId="12" xfId="2" applyNumberFormat="1" applyFont="1" applyFill="1" applyBorder="1" applyAlignment="1">
      <alignment horizontal="center" vertical="center" wrapText="1"/>
    </xf>
    <xf numFmtId="166" fontId="7" fillId="0" borderId="17" xfId="2" applyNumberFormat="1" applyFont="1" applyBorder="1" applyAlignment="1">
      <alignment horizontal="center" vertical="center" wrapText="1"/>
    </xf>
    <xf numFmtId="166" fontId="7" fillId="0" borderId="18" xfId="2" applyNumberFormat="1" applyFont="1" applyBorder="1" applyAlignment="1">
      <alignment horizontal="center" vertical="center" wrapText="1"/>
    </xf>
    <xf numFmtId="166" fontId="7" fillId="18" borderId="8" xfId="2" applyNumberFormat="1" applyFont="1" applyFill="1" applyBorder="1" applyAlignment="1">
      <alignment horizontal="center" vertical="center" wrapText="1"/>
    </xf>
    <xf numFmtId="166" fontId="7" fillId="18" borderId="9" xfId="2" applyNumberFormat="1" applyFont="1" applyFill="1" applyBorder="1" applyAlignment="1">
      <alignment horizontal="center" vertical="center" wrapText="1"/>
    </xf>
    <xf numFmtId="0" fontId="64" fillId="0" borderId="16" xfId="0" applyFont="1" applyBorder="1" applyAlignment="1">
      <alignment horizontal="left" vertical="center" wrapText="1"/>
    </xf>
    <xf numFmtId="0" fontId="12" fillId="2" borderId="6" xfId="0" applyFont="1" applyFill="1" applyBorder="1" applyAlignment="1">
      <alignment horizontal="left" vertical="center" wrapText="1"/>
    </xf>
    <xf numFmtId="0" fontId="12" fillId="2" borderId="14" xfId="0" applyFont="1" applyFill="1" applyBorder="1" applyAlignment="1">
      <alignment horizontal="left" vertical="center" wrapText="1"/>
    </xf>
    <xf numFmtId="166" fontId="8" fillId="0" borderId="6" xfId="2" applyNumberFormat="1" applyFont="1" applyBorder="1" applyAlignment="1">
      <alignment horizontal="center" vertical="center" wrapText="1"/>
    </xf>
    <xf numFmtId="0" fontId="88" fillId="5" borderId="0" xfId="0" applyFont="1" applyFill="1" applyAlignment="1">
      <alignment horizontal="left" vertical="center" wrapText="1"/>
    </xf>
    <xf numFmtId="0" fontId="16" fillId="11" borderId="7" xfId="0" applyFont="1" applyFill="1" applyBorder="1" applyAlignment="1">
      <alignment horizontal="center" vertical="center" wrapText="1"/>
    </xf>
    <xf numFmtId="0" fontId="16" fillId="11" borderId="10" xfId="0" applyFont="1" applyFill="1" applyBorder="1" applyAlignment="1">
      <alignment horizontal="center" vertical="center" wrapText="1"/>
    </xf>
    <xf numFmtId="0" fontId="141" fillId="3" borderId="9" xfId="0" applyFont="1" applyFill="1" applyBorder="1" applyAlignment="1">
      <alignment vertical="center"/>
    </xf>
    <xf numFmtId="0" fontId="23" fillId="4" borderId="9" xfId="0" applyFont="1" applyFill="1" applyBorder="1" applyAlignment="1">
      <alignment horizontal="left" vertical="center"/>
    </xf>
    <xf numFmtId="166" fontId="23" fillId="4" borderId="9" xfId="2" applyNumberFormat="1" applyFont="1" applyFill="1" applyBorder="1" applyAlignment="1">
      <alignment horizontal="right" vertical="center"/>
    </xf>
    <xf numFmtId="0" fontId="6" fillId="2" borderId="0" xfId="0" applyFont="1" applyFill="1" applyAlignment="1">
      <alignment horizontal="right" vertical="center"/>
    </xf>
    <xf numFmtId="0" fontId="6" fillId="0" borderId="7" xfId="0" applyFont="1" applyBorder="1" applyAlignment="1">
      <alignment vertical="center" wrapText="1"/>
    </xf>
    <xf numFmtId="0" fontId="6" fillId="0" borderId="7" xfId="0" applyFont="1" applyBorder="1" applyAlignment="1">
      <alignment horizontal="left" vertical="center"/>
    </xf>
    <xf numFmtId="166" fontId="6" fillId="0" borderId="7" xfId="2" applyNumberFormat="1" applyFont="1" applyBorder="1" applyAlignment="1">
      <alignment horizontal="right" vertical="center"/>
    </xf>
    <xf numFmtId="0" fontId="6" fillId="28" borderId="0" xfId="0" applyFont="1" applyFill="1" applyAlignment="1">
      <alignment vertical="center"/>
    </xf>
    <xf numFmtId="10" fontId="6" fillId="2" borderId="0" xfId="0" applyNumberFormat="1" applyFont="1" applyFill="1" applyAlignment="1">
      <alignment horizontal="right" vertical="center"/>
    </xf>
    <xf numFmtId="0" fontId="23" fillId="28" borderId="0" xfId="2" applyNumberFormat="1" applyFont="1" applyFill="1" applyAlignment="1">
      <alignment horizontal="right" vertical="center"/>
    </xf>
    <xf numFmtId="0" fontId="23" fillId="28" borderId="0" xfId="0" applyFont="1" applyFill="1" applyAlignment="1">
      <alignment horizontal="right" vertical="center"/>
    </xf>
    <xf numFmtId="166" fontId="6" fillId="28" borderId="0" xfId="0" applyNumberFormat="1" applyFont="1" applyFill="1" applyAlignment="1">
      <alignment vertical="center"/>
    </xf>
    <xf numFmtId="0" fontId="23" fillId="0" borderId="7" xfId="0" applyFont="1" applyBorder="1" applyAlignment="1">
      <alignment vertical="center" wrapText="1"/>
    </xf>
    <xf numFmtId="0" fontId="23" fillId="0" borderId="7" xfId="0" applyFont="1" applyBorder="1" applyAlignment="1">
      <alignment horizontal="left" vertical="center"/>
    </xf>
    <xf numFmtId="166" fontId="23" fillId="4" borderId="7" xfId="2" applyNumberFormat="1" applyFont="1" applyFill="1" applyBorder="1" applyAlignment="1">
      <alignment horizontal="right" vertical="center"/>
    </xf>
    <xf numFmtId="166" fontId="23" fillId="0" borderId="7" xfId="2" applyNumberFormat="1" applyFont="1" applyBorder="1" applyAlignment="1">
      <alignment horizontal="right" vertical="center"/>
    </xf>
    <xf numFmtId="166" fontId="6" fillId="2" borderId="0" xfId="0" applyNumberFormat="1" applyFont="1" applyFill="1" applyAlignment="1">
      <alignment vertical="center"/>
    </xf>
    <xf numFmtId="0" fontId="141" fillId="4" borderId="7" xfId="0" applyFont="1" applyFill="1" applyBorder="1" applyAlignment="1">
      <alignment vertical="center"/>
    </xf>
    <xf numFmtId="0" fontId="23" fillId="4" borderId="7" xfId="0" applyFont="1" applyFill="1" applyBorder="1" applyAlignment="1">
      <alignment horizontal="left" vertical="center"/>
    </xf>
    <xf numFmtId="0" fontId="6" fillId="0" borderId="7" xfId="0" applyFont="1" applyBorder="1" applyAlignment="1">
      <alignment vertical="center"/>
    </xf>
    <xf numFmtId="0" fontId="23" fillId="0" borderId="7" xfId="0" applyFont="1" applyBorder="1" applyAlignment="1">
      <alignment vertical="center"/>
    </xf>
    <xf numFmtId="166" fontId="6" fillId="2" borderId="0" xfId="0" applyNumberFormat="1" applyFont="1" applyFill="1" applyAlignment="1">
      <alignment horizontal="right" vertical="center"/>
    </xf>
    <xf numFmtId="164" fontId="6" fillId="0" borderId="7" xfId="2" applyNumberFormat="1" applyFont="1" applyBorder="1" applyAlignment="1">
      <alignment horizontal="right" vertical="center"/>
    </xf>
    <xf numFmtId="164" fontId="6" fillId="2" borderId="0" xfId="3" applyNumberFormat="1" applyFont="1" applyFill="1" applyAlignment="1">
      <alignment horizontal="right" vertical="center"/>
    </xf>
    <xf numFmtId="0" fontId="6" fillId="2" borderId="7" xfId="0" applyFont="1" applyFill="1" applyBorder="1" applyAlignment="1">
      <alignment vertical="center"/>
    </xf>
    <xf numFmtId="0" fontId="6" fillId="2" borderId="7" xfId="0" applyFont="1" applyFill="1" applyBorder="1" applyAlignment="1">
      <alignment horizontal="left" vertical="center"/>
    </xf>
    <xf numFmtId="0" fontId="6" fillId="0" borderId="0" xfId="0" applyFont="1" applyAlignment="1">
      <alignment vertical="center"/>
    </xf>
    <xf numFmtId="0" fontId="6" fillId="2" borderId="0" xfId="0" applyFont="1" applyFill="1" applyAlignment="1">
      <alignment horizontal="left" vertical="center"/>
    </xf>
    <xf numFmtId="168" fontId="23" fillId="2" borderId="0" xfId="2" applyNumberFormat="1" applyFont="1" applyFill="1" applyAlignment="1">
      <alignment horizontal="right" vertical="center"/>
    </xf>
    <xf numFmtId="0" fontId="117" fillId="0" borderId="7" xfId="0" applyFont="1" applyBorder="1" applyAlignment="1">
      <alignment vertical="center" wrapText="1"/>
    </xf>
    <xf numFmtId="0" fontId="117" fillId="0" borderId="7" xfId="0" applyFont="1" applyBorder="1" applyAlignment="1">
      <alignment horizontal="left" vertical="center"/>
    </xf>
    <xf numFmtId="166" fontId="117" fillId="0" borderId="7" xfId="2" applyNumberFormat="1" applyFont="1" applyBorder="1" applyAlignment="1">
      <alignment horizontal="right" vertical="center"/>
    </xf>
    <xf numFmtId="0" fontId="117" fillId="2" borderId="0" xfId="0" applyFont="1" applyFill="1" applyAlignment="1">
      <alignment horizontal="right" vertical="center"/>
    </xf>
    <xf numFmtId="0" fontId="117" fillId="2" borderId="0" xfId="0" applyFont="1" applyFill="1" applyAlignment="1">
      <alignment vertical="center"/>
    </xf>
    <xf numFmtId="0" fontId="117" fillId="28" borderId="0" xfId="0" applyFont="1" applyFill="1" applyAlignment="1">
      <alignment vertical="center"/>
    </xf>
    <xf numFmtId="166" fontId="117" fillId="28" borderId="0" xfId="0" applyNumberFormat="1" applyFont="1" applyFill="1" applyAlignment="1">
      <alignment vertical="center"/>
    </xf>
    <xf numFmtId="0" fontId="128" fillId="0" borderId="7" xfId="0" applyFont="1" applyBorder="1" applyAlignment="1">
      <alignment vertical="center" wrapText="1"/>
    </xf>
    <xf numFmtId="0" fontId="128" fillId="0" borderId="7" xfId="0" applyFont="1" applyBorder="1" applyAlignment="1">
      <alignment horizontal="left" vertical="center"/>
    </xf>
    <xf numFmtId="166" fontId="128" fillId="0" borderId="7" xfId="2" applyNumberFormat="1" applyFont="1" applyBorder="1" applyAlignment="1">
      <alignment horizontal="right" vertical="center"/>
    </xf>
    <xf numFmtId="0" fontId="117" fillId="0" borderId="7" xfId="0" applyFont="1" applyBorder="1" applyAlignment="1">
      <alignment vertical="center"/>
    </xf>
    <xf numFmtId="166" fontId="117" fillId="0" borderId="7" xfId="2" applyNumberFormat="1" applyFont="1" applyFill="1" applyBorder="1" applyAlignment="1">
      <alignment horizontal="right" vertical="center"/>
    </xf>
    <xf numFmtId="1" fontId="117" fillId="0" borderId="7" xfId="2" applyNumberFormat="1" applyFont="1" applyFill="1" applyBorder="1" applyAlignment="1">
      <alignment horizontal="right" vertical="center"/>
    </xf>
    <xf numFmtId="0" fontId="128" fillId="0" borderId="7" xfId="0" applyFont="1" applyBorder="1" applyAlignment="1">
      <alignment vertical="center"/>
    </xf>
    <xf numFmtId="166" fontId="128" fillId="0" borderId="7" xfId="2" applyNumberFormat="1" applyFont="1" applyFill="1" applyBorder="1" applyAlignment="1">
      <alignment horizontal="right" vertical="center"/>
    </xf>
    <xf numFmtId="166" fontId="52" fillId="4" borderId="9" xfId="2" applyNumberFormat="1" applyFont="1" applyFill="1" applyBorder="1" applyAlignment="1">
      <alignment horizontal="right" vertical="center"/>
    </xf>
    <xf numFmtId="166" fontId="81" fillId="4" borderId="7" xfId="2" applyNumberFormat="1" applyFont="1" applyFill="1" applyBorder="1" applyAlignment="1">
      <alignment horizontal="right" vertical="center"/>
    </xf>
    <xf numFmtId="166" fontId="52" fillId="4" borderId="7" xfId="2" applyNumberFormat="1" applyFont="1" applyFill="1" applyBorder="1" applyAlignment="1">
      <alignment horizontal="right" vertical="center"/>
    </xf>
    <xf numFmtId="166" fontId="86" fillId="4" borderId="7" xfId="2" applyNumberFormat="1" applyFont="1" applyFill="1" applyBorder="1" applyAlignment="1">
      <alignment horizontal="right" vertical="center"/>
    </xf>
    <xf numFmtId="166" fontId="87" fillId="4" borderId="7" xfId="2" applyNumberFormat="1" applyFont="1" applyFill="1" applyBorder="1" applyAlignment="1">
      <alignment horizontal="right" vertical="center"/>
    </xf>
    <xf numFmtId="164" fontId="81" fillId="4" borderId="7" xfId="2" applyNumberFormat="1" applyFont="1" applyFill="1" applyBorder="1" applyAlignment="1">
      <alignment horizontal="right" vertical="center"/>
    </xf>
    <xf numFmtId="1" fontId="86" fillId="4" borderId="7" xfId="2" applyNumberFormat="1" applyFont="1" applyFill="1" applyBorder="1" applyAlignment="1">
      <alignment horizontal="right" vertical="center"/>
    </xf>
  </cellXfs>
  <cellStyles count="7">
    <cellStyle name="Comma" xfId="2" builtinId="3"/>
    <cellStyle name="Comma 2" xfId="4" xr:uid="{6BB149D6-ADB6-45E3-811A-0649A7117E71}"/>
    <cellStyle name="Heading 2021 and previous" xfId="6" xr:uid="{C73379B3-2602-4C3C-8BA9-DE7929584B45}"/>
    <cellStyle name="Hyperlink" xfId="1" builtinId="8"/>
    <cellStyle name="Normal" xfId="0" builtinId="0"/>
    <cellStyle name="Percent" xfId="3" builtinId="5"/>
    <cellStyle name="T-Text-Thin-Centre" xfId="5" xr:uid="{4D7F230F-DA1B-49F8-8068-4DF72C375321}"/>
  </cellStyles>
  <dxfs count="0"/>
  <tableStyles count="0" defaultTableStyle="TableStyleMedium2" defaultPivotStyle="PivotStyleLight16"/>
  <colors>
    <mruColors>
      <color rgb="FF1E22AA"/>
      <color rgb="FF00ACE9"/>
      <color rgb="FF0000CC"/>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baseline="0">
              <a:solidFill>
                <a:srgbClr val="0000CC"/>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clustered"/>
        <c:varyColors val="0"/>
        <c:ser>
          <c:idx val="0"/>
          <c:order val="0"/>
          <c:tx>
            <c:strRef>
              <c:f>'Health and Safety'!$M$25</c:f>
              <c:strCache>
                <c:ptCount val="1"/>
                <c:pt idx="0">
                  <c:v>ICCA - Process Safety Event Severity Rate (PSESR)</c:v>
                </c:pt>
              </c:strCache>
            </c:strRef>
          </c:tx>
          <c:spPr>
            <a:solidFill>
              <a:schemeClr val="accent1"/>
            </a:solidFill>
            <a:ln>
              <a:noFill/>
            </a:ln>
            <a:effectLst/>
          </c:spPr>
          <c:invertIfNegative val="0"/>
          <c:dPt>
            <c:idx val="4"/>
            <c:invertIfNegative val="0"/>
            <c:bubble3D val="0"/>
            <c:spPr>
              <a:solidFill>
                <a:schemeClr val="accent4"/>
              </a:solidFill>
              <a:ln>
                <a:noFill/>
              </a:ln>
              <a:effectLst/>
            </c:spPr>
            <c:extLst>
              <c:ext xmlns:c16="http://schemas.microsoft.com/office/drawing/2014/chart" uri="{C3380CC4-5D6E-409C-BE32-E72D297353CC}">
                <c16:uniqueId val="{00000000-66BD-41AD-A7B1-EEF4C2FDBA7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'Health and Safety'!$N$18:$R$18</c:f>
              <c:strCache>
                <c:ptCount val="5"/>
                <c:pt idx="0">
                  <c:v>2018/19</c:v>
                </c:pt>
                <c:pt idx="1">
                  <c:v>2019/20</c:v>
                </c:pt>
                <c:pt idx="2">
                  <c:v>2020/21</c:v>
                </c:pt>
                <c:pt idx="3">
                  <c:v>2021/22</c:v>
                </c:pt>
                <c:pt idx="4">
                  <c:v>2022/23</c:v>
                </c:pt>
              </c:strCache>
            </c:strRef>
          </c:cat>
          <c:val>
            <c:numRef>
              <c:f>'Health and Safety'!$N$25:$R$25</c:f>
              <c:numCache>
                <c:formatCode>General</c:formatCode>
                <c:ptCount val="5"/>
                <c:pt idx="0">
                  <c:v>1.5349999999999999</c:v>
                </c:pt>
                <c:pt idx="1">
                  <c:v>1.1819999999999999</c:v>
                </c:pt>
                <c:pt idx="2">
                  <c:v>0.77</c:v>
                </c:pt>
                <c:pt idx="3">
                  <c:v>1.3220000000000001</c:v>
                </c:pt>
                <c:pt idx="4">
                  <c:v>1.0149999999999999</c:v>
                </c:pt>
              </c:numCache>
            </c:numRef>
          </c:val>
          <c:extLst>
            <c:ext xmlns:c16="http://schemas.microsoft.com/office/drawing/2014/chart" uri="{C3380CC4-5D6E-409C-BE32-E72D297353CC}">
              <c16:uniqueId val="{00000000-75DC-40F7-BE8E-E75CCA7402E6}"/>
            </c:ext>
          </c:extLst>
        </c:ser>
        <c:dLbls>
          <c:showLegendKey val="0"/>
          <c:showVal val="0"/>
          <c:showCatName val="0"/>
          <c:showSerName val="0"/>
          <c:showPercent val="0"/>
          <c:showBubbleSize val="0"/>
        </c:dLbls>
        <c:gapWidth val="24"/>
        <c:overlap val="4"/>
        <c:axId val="828100143"/>
        <c:axId val="828091823"/>
      </c:barChart>
      <c:catAx>
        <c:axId val="8281001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crossAx val="828091823"/>
        <c:crosses val="autoZero"/>
        <c:auto val="1"/>
        <c:lblAlgn val="ctr"/>
        <c:lblOffset val="100"/>
        <c:noMultiLvlLbl val="0"/>
      </c:catAx>
      <c:valAx>
        <c:axId val="8280918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n-GB">
                    <a:latin typeface="Verdana" panose="020B0604030504040204" pitchFamily="34" charset="0"/>
                    <a:ea typeface="Verdana" panose="020B0604030504040204" pitchFamily="34" charset="0"/>
                  </a:rPr>
                  <a:t>PSER/200,000 hrs</a:t>
                </a:r>
              </a:p>
            </c:rich>
          </c:tx>
          <c:layout>
            <c:manualLayout>
              <c:xMode val="edge"/>
              <c:yMode val="edge"/>
              <c:x val="1.9444444444444445E-2"/>
              <c:y val="0.39491683470041333"/>
            </c:manualLayout>
          </c:layout>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crossAx val="828100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baseline="0">
              <a:solidFill>
                <a:srgbClr val="0000CC"/>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clustered"/>
        <c:varyColors val="0"/>
        <c:ser>
          <c:idx val="0"/>
          <c:order val="0"/>
          <c:tx>
            <c:strRef>
              <c:f>'Health and Safety'!$M$22</c:f>
              <c:strCache>
                <c:ptCount val="1"/>
                <c:pt idx="0">
                  <c:v>Total Recordable Injury and Illness Rate(TRIIR)
employees + contractors</c:v>
                </c:pt>
              </c:strCache>
            </c:strRef>
          </c:tx>
          <c:spPr>
            <a:solidFill>
              <a:schemeClr val="accent1"/>
            </a:solidFill>
            <a:ln>
              <a:noFill/>
            </a:ln>
            <a:effectLst/>
          </c:spPr>
          <c:invertIfNegative val="0"/>
          <c:dPt>
            <c:idx val="4"/>
            <c:invertIfNegative val="0"/>
            <c:bubble3D val="0"/>
            <c:spPr>
              <a:solidFill>
                <a:schemeClr val="accent4"/>
              </a:solidFill>
              <a:ln>
                <a:noFill/>
              </a:ln>
              <a:effectLst/>
            </c:spPr>
            <c:extLst>
              <c:ext xmlns:c16="http://schemas.microsoft.com/office/drawing/2014/chart" uri="{C3380CC4-5D6E-409C-BE32-E72D297353CC}">
                <c16:uniqueId val="{00000000-271C-4477-A74D-CFC83283BFC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'Health and Safety'!$N$18:$R$18</c:f>
              <c:strCache>
                <c:ptCount val="5"/>
                <c:pt idx="0">
                  <c:v>2018/19</c:v>
                </c:pt>
                <c:pt idx="1">
                  <c:v>2019/20</c:v>
                </c:pt>
                <c:pt idx="2">
                  <c:v>2020/21</c:v>
                </c:pt>
                <c:pt idx="3">
                  <c:v>2021/22</c:v>
                </c:pt>
                <c:pt idx="4">
                  <c:v>2022/23</c:v>
                </c:pt>
              </c:strCache>
            </c:strRef>
          </c:cat>
          <c:val>
            <c:numRef>
              <c:f>'Health and Safety'!$N$22:$R$22</c:f>
              <c:numCache>
                <c:formatCode>General</c:formatCode>
                <c:ptCount val="5"/>
                <c:pt idx="0">
                  <c:v>0.97</c:v>
                </c:pt>
                <c:pt idx="1">
                  <c:v>0.79</c:v>
                </c:pt>
                <c:pt idx="2">
                  <c:v>0.55000000000000004</c:v>
                </c:pt>
                <c:pt idx="3">
                  <c:v>0.59</c:v>
                </c:pt>
                <c:pt idx="4">
                  <c:v>0.47</c:v>
                </c:pt>
              </c:numCache>
            </c:numRef>
          </c:val>
          <c:extLst>
            <c:ext xmlns:c16="http://schemas.microsoft.com/office/drawing/2014/chart" uri="{C3380CC4-5D6E-409C-BE32-E72D297353CC}">
              <c16:uniqueId val="{00000000-FB9A-4933-AC77-44BDDFA6BC6C}"/>
            </c:ext>
          </c:extLst>
        </c:ser>
        <c:dLbls>
          <c:showLegendKey val="0"/>
          <c:showVal val="0"/>
          <c:showCatName val="0"/>
          <c:showSerName val="0"/>
          <c:showPercent val="0"/>
          <c:showBubbleSize val="0"/>
        </c:dLbls>
        <c:gapWidth val="24"/>
        <c:overlap val="4"/>
        <c:axId val="828100143"/>
        <c:axId val="828091823"/>
      </c:barChart>
      <c:catAx>
        <c:axId val="8281001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crossAx val="828091823"/>
        <c:crosses val="autoZero"/>
        <c:auto val="1"/>
        <c:lblAlgn val="ctr"/>
        <c:lblOffset val="100"/>
        <c:noMultiLvlLbl val="0"/>
      </c:catAx>
      <c:valAx>
        <c:axId val="8280918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n-GB">
                    <a:latin typeface="Verdana" panose="020B0604030504040204" pitchFamily="34" charset="0"/>
                    <a:ea typeface="Verdana" panose="020B0604030504040204" pitchFamily="34" charset="0"/>
                  </a:rPr>
                  <a:t>n/200,000 hrs</a:t>
                </a:r>
              </a:p>
            </c:rich>
          </c:tx>
          <c:layout>
            <c:manualLayout>
              <c:xMode val="edge"/>
              <c:yMode val="edge"/>
              <c:x val="1.9444444444444445E-2"/>
              <c:y val="0.39491683470041333"/>
            </c:manualLayout>
          </c:layout>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crossAx val="828100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baseline="0">
              <a:solidFill>
                <a:srgbClr val="0000CC"/>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col"/>
        <c:grouping val="clustered"/>
        <c:varyColors val="0"/>
        <c:ser>
          <c:idx val="0"/>
          <c:order val="0"/>
          <c:tx>
            <c:strRef>
              <c:f>'Health and Safety'!$M$19</c:f>
              <c:strCache>
                <c:ptCount val="1"/>
                <c:pt idx="0">
                  <c:v>Lost Time Injury and Illness Rate(LTIIR) 
employees + contractors</c:v>
                </c:pt>
              </c:strCache>
            </c:strRef>
          </c:tx>
          <c:spPr>
            <a:solidFill>
              <a:schemeClr val="accent1"/>
            </a:solidFill>
            <a:ln>
              <a:noFill/>
            </a:ln>
            <a:effectLst/>
          </c:spPr>
          <c:invertIfNegative val="0"/>
          <c:dPt>
            <c:idx val="4"/>
            <c:invertIfNegative val="0"/>
            <c:bubble3D val="0"/>
            <c:spPr>
              <a:solidFill>
                <a:schemeClr val="accent4"/>
              </a:solidFill>
              <a:ln>
                <a:noFill/>
              </a:ln>
              <a:effectLst/>
            </c:spPr>
            <c:extLst>
              <c:ext xmlns:c16="http://schemas.microsoft.com/office/drawing/2014/chart" uri="{C3380CC4-5D6E-409C-BE32-E72D297353CC}">
                <c16:uniqueId val="{00000000-EB91-46CB-A3AD-821085B4151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'Health and Safety'!$N$18:$R$18</c:f>
              <c:strCache>
                <c:ptCount val="5"/>
                <c:pt idx="0">
                  <c:v>2018/19</c:v>
                </c:pt>
                <c:pt idx="1">
                  <c:v>2019/20</c:v>
                </c:pt>
                <c:pt idx="2">
                  <c:v>2020/21</c:v>
                </c:pt>
                <c:pt idx="3">
                  <c:v>2021/22</c:v>
                </c:pt>
                <c:pt idx="4">
                  <c:v>2022/23</c:v>
                </c:pt>
              </c:strCache>
            </c:strRef>
          </c:cat>
          <c:val>
            <c:numRef>
              <c:f>'Health and Safety'!$N$19:$R$19</c:f>
              <c:numCache>
                <c:formatCode>General</c:formatCode>
                <c:ptCount val="5"/>
                <c:pt idx="0">
                  <c:v>0.56000000000000005</c:v>
                </c:pt>
                <c:pt idx="1">
                  <c:v>0.34</c:v>
                </c:pt>
                <c:pt idx="2">
                  <c:v>0.28000000000000003</c:v>
                </c:pt>
                <c:pt idx="3">
                  <c:v>0.3</c:v>
                </c:pt>
                <c:pt idx="4">
                  <c:v>0.24</c:v>
                </c:pt>
              </c:numCache>
            </c:numRef>
          </c:val>
          <c:extLst>
            <c:ext xmlns:c16="http://schemas.microsoft.com/office/drawing/2014/chart" uri="{C3380CC4-5D6E-409C-BE32-E72D297353CC}">
              <c16:uniqueId val="{00000000-E8D7-45DE-B5DC-52F6186D339C}"/>
            </c:ext>
          </c:extLst>
        </c:ser>
        <c:dLbls>
          <c:showLegendKey val="0"/>
          <c:showVal val="0"/>
          <c:showCatName val="0"/>
          <c:showSerName val="0"/>
          <c:showPercent val="0"/>
          <c:showBubbleSize val="0"/>
        </c:dLbls>
        <c:gapWidth val="24"/>
        <c:overlap val="4"/>
        <c:axId val="828100143"/>
        <c:axId val="828091823"/>
      </c:barChart>
      <c:catAx>
        <c:axId val="8281001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crossAx val="828091823"/>
        <c:crosses val="autoZero"/>
        <c:auto val="1"/>
        <c:lblAlgn val="ctr"/>
        <c:lblOffset val="100"/>
        <c:noMultiLvlLbl val="0"/>
      </c:catAx>
      <c:valAx>
        <c:axId val="8280918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n-GB">
                    <a:latin typeface="Verdana" panose="020B0604030504040204" pitchFamily="34" charset="0"/>
                    <a:ea typeface="Verdana" panose="020B0604030504040204" pitchFamily="34" charset="0"/>
                  </a:rPr>
                  <a:t>n/200,000 hrs</a:t>
                </a:r>
              </a:p>
            </c:rich>
          </c:tx>
          <c:layout>
            <c:manualLayout>
              <c:xMode val="edge"/>
              <c:yMode val="edge"/>
              <c:x val="1.9444444444444445E-2"/>
              <c:y val="0.39491683470041333"/>
            </c:manualLayout>
          </c:layout>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crossAx val="828100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GB" sz="1600"/>
              <a:t>Total GHG emissions 2022/23</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304-488E-A68B-A8D167A65B4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304-488E-A68B-A8D167A65B4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304-488E-A68B-A8D167A65B4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304-488E-A68B-A8D167A65B4D}"/>
              </c:ext>
            </c:extLst>
          </c:dPt>
          <c:dLbls>
            <c:dLbl>
              <c:idx val="0"/>
              <c:layout>
                <c:manualLayout>
                  <c:x val="-3.0487580637631892E-2"/>
                  <c:y val="-1.9513849428615237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04-488E-A68B-A8D167A65B4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'Environment (original)'!$B$36:$B$39</c:f>
              <c:strCache>
                <c:ptCount val="4"/>
                <c:pt idx="0">
                  <c:v>Total Scope 1 GHG emissions</c:v>
                </c:pt>
                <c:pt idx="1">
                  <c:v>Total Scope 2 GHG emissions (market-based)</c:v>
                </c:pt>
                <c:pt idx="2">
                  <c:v>Scope 3 - Total Scope 3 (Category 1) Purchased goods and services GHG emissions</c:v>
                </c:pt>
                <c:pt idx="3">
                  <c:v>Scope 3 - All other categories</c:v>
                </c:pt>
              </c:strCache>
            </c:strRef>
          </c:cat>
          <c:val>
            <c:numRef>
              <c:f>'Environment (original)'!$N$36:$N$39</c:f>
              <c:numCache>
                <c:formatCode>0.0%</c:formatCode>
                <c:ptCount val="4"/>
                <c:pt idx="0">
                  <c:v>7.0527397611580958E-2</c:v>
                </c:pt>
                <c:pt idx="1">
                  <c:v>3.941613915552334E-2</c:v>
                </c:pt>
                <c:pt idx="2">
                  <c:v>0.75439073105340759</c:v>
                </c:pt>
                <c:pt idx="3">
                  <c:v>0.13566573217948807</c:v>
                </c:pt>
              </c:numCache>
            </c:numRef>
          </c:val>
          <c:extLst>
            <c:ext xmlns:c16="http://schemas.microsoft.com/office/drawing/2014/chart" uri="{C3380CC4-5D6E-409C-BE32-E72D297353CC}">
              <c16:uniqueId val="{00000000-A6DB-4275-82A8-46D782AEB52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Energy Mix 2022/23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3-2101-4A4E-B7AB-09CE3DF38FE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4-2101-4A4E-B7AB-09CE3DF38FE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25E-4162-A4BB-C31470B88F1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25E-4162-A4BB-C31470B88F1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2-2101-4A4E-B7AB-09CE3DF38FE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25E-4162-A4BB-C31470B88F1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E25E-4162-A4BB-C31470B88F1C}"/>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extLst>
                <c:ext xmlns:c16="http://schemas.microsoft.com/office/drawing/2014/chart" uri="{C3380CC4-5D6E-409C-BE32-E72D297353CC}">
                  <c16:uniqueId val="{00000003-2101-4A4E-B7AB-09CE3DF38FE6}"/>
                </c:ext>
              </c:extLst>
            </c:dLbl>
            <c:dLbl>
              <c:idx val="1"/>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extLst>
                <c:ext xmlns:c16="http://schemas.microsoft.com/office/drawing/2014/chart" uri="{C3380CC4-5D6E-409C-BE32-E72D297353CC}">
                  <c16:uniqueId val="{00000004-2101-4A4E-B7AB-09CE3DF38FE6}"/>
                </c:ext>
              </c:extLst>
            </c:dLbl>
            <c:dLbl>
              <c:idx val="4"/>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extLst>
                <c:ext xmlns:c16="http://schemas.microsoft.com/office/drawing/2014/chart" uri="{C3380CC4-5D6E-409C-BE32-E72D297353CC}">
                  <c16:uniqueId val="{00000002-2101-4A4E-B7AB-09CE3DF38FE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'Environment (original)'!$P$127:$P$133</c:f>
              <c:strCache>
                <c:ptCount val="7"/>
                <c:pt idx="0">
                  <c:v>Non-renewable, grid-supplied electricity</c:v>
                </c:pt>
                <c:pt idx="1">
                  <c:v>Certified renewable electricity from the grid</c:v>
                </c:pt>
                <c:pt idx="2">
                  <c:v>Renewable electricity generated locally</c:v>
                </c:pt>
                <c:pt idx="3">
                  <c:v>Natural gas used on site</c:v>
                </c:pt>
                <c:pt idx="4">
                  <c:v>Other fossil fuels used on site</c:v>
                </c:pt>
                <c:pt idx="5">
                  <c:v>Non-renewable steam procured</c:v>
                </c:pt>
                <c:pt idx="6">
                  <c:v>Fuel used on public roads by JM vehicles on company business</c:v>
                </c:pt>
              </c:strCache>
            </c:strRef>
          </c:cat>
          <c:val>
            <c:numRef>
              <c:f>'Environment (original)'!$R$127:$R$133</c:f>
              <c:numCache>
                <c:formatCode>0.0%</c:formatCode>
                <c:ptCount val="7"/>
                <c:pt idx="0">
                  <c:v>0.21822306628383506</c:v>
                </c:pt>
                <c:pt idx="1">
                  <c:v>0.16177662380033564</c:v>
                </c:pt>
                <c:pt idx="2">
                  <c:v>5.7859119365803987E-3</c:v>
                </c:pt>
                <c:pt idx="3">
                  <c:v>0.52230769061950255</c:v>
                </c:pt>
                <c:pt idx="4">
                  <c:v>5.7633774188488099E-2</c:v>
                </c:pt>
                <c:pt idx="5">
                  <c:v>3.0159026580493176E-2</c:v>
                </c:pt>
                <c:pt idx="6">
                  <c:v>4.1139065907651335E-3</c:v>
                </c:pt>
              </c:numCache>
            </c:numRef>
          </c:val>
          <c:extLst>
            <c:ext xmlns:c16="http://schemas.microsoft.com/office/drawing/2014/chart" uri="{C3380CC4-5D6E-409C-BE32-E72D297353CC}">
              <c16:uniqueId val="{00000000-2101-4A4E-B7AB-09CE3DF38FE6}"/>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F-E25E-4162-A4BB-C31470B88F1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1-E25E-4162-A4BB-C31470B88F1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3-E25E-4162-A4BB-C31470B88F1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5-E25E-4162-A4BB-C31470B88F1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7-E25E-4162-A4BB-C31470B88F1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9-E25E-4162-A4BB-C31470B88F1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1B-E25E-4162-A4BB-C31470B88F1C}"/>
              </c:ext>
            </c:extLst>
          </c:dPt>
          <c:cat>
            <c:strRef>
              <c:f>'Environment (original)'!$P$127:$P$133</c:f>
              <c:strCache>
                <c:ptCount val="7"/>
                <c:pt idx="0">
                  <c:v>Non-renewable, grid-supplied electricity</c:v>
                </c:pt>
                <c:pt idx="1">
                  <c:v>Certified renewable electricity from the grid</c:v>
                </c:pt>
                <c:pt idx="2">
                  <c:v>Renewable electricity generated locally</c:v>
                </c:pt>
                <c:pt idx="3">
                  <c:v>Natural gas used on site</c:v>
                </c:pt>
                <c:pt idx="4">
                  <c:v>Other fossil fuels used on site</c:v>
                </c:pt>
                <c:pt idx="5">
                  <c:v>Non-renewable steam procured</c:v>
                </c:pt>
                <c:pt idx="6">
                  <c:v>Fuel used on public roads by JM vehicles on company business</c:v>
                </c:pt>
              </c:strCache>
            </c:strRef>
          </c:cat>
          <c:val>
            <c:numRef>
              <c:f>'Environment (original)'!$R$127:$R$133</c:f>
              <c:numCache>
                <c:formatCode>0.0%</c:formatCode>
                <c:ptCount val="7"/>
                <c:pt idx="0">
                  <c:v>0.21822306628383506</c:v>
                </c:pt>
                <c:pt idx="1">
                  <c:v>0.16177662380033564</c:v>
                </c:pt>
                <c:pt idx="2">
                  <c:v>5.7859119365803987E-3</c:v>
                </c:pt>
                <c:pt idx="3">
                  <c:v>0.52230769061950255</c:v>
                </c:pt>
                <c:pt idx="4">
                  <c:v>5.7633774188488099E-2</c:v>
                </c:pt>
                <c:pt idx="5">
                  <c:v>3.0159026580493176E-2</c:v>
                </c:pt>
                <c:pt idx="6">
                  <c:v>4.1139065907651335E-3</c:v>
                </c:pt>
              </c:numCache>
            </c:numRef>
          </c:val>
          <c:extLst>
            <c:ext xmlns:c16="http://schemas.microsoft.com/office/drawing/2014/chart" uri="{C3380CC4-5D6E-409C-BE32-E72D297353CC}">
              <c16:uniqueId val="{00000001-2101-4A4E-B7AB-09CE3DF38FE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en-US"/>
              <a:t>employees in 2022/23</a:t>
            </a:r>
          </a:p>
        </c:rich>
      </c:tx>
      <c:layout>
        <c:manualLayout>
          <c:xMode val="edge"/>
          <c:yMode val="edge"/>
          <c:x val="0.2583861780047233"/>
          <c:y val="4.338934975574036E-2"/>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806078674105042"/>
          <c:y val="0.21766282711202872"/>
          <c:w val="0.4668475352414348"/>
          <c:h val="0.68600091518751505"/>
        </c:manualLayout>
      </c:layout>
      <c:doughnutChart>
        <c:varyColors val="1"/>
        <c:ser>
          <c:idx val="0"/>
          <c:order val="0"/>
          <c:tx>
            <c:strRef>
              <c:f>'People (Internal)'!$B$22</c:f>
              <c:strCache>
                <c:ptCount val="1"/>
                <c:pt idx="0">
                  <c:v>Total number of employees</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834D-4B20-B9A5-D9C651599274}"/>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834D-4B20-B9A5-D9C651599274}"/>
              </c:ext>
            </c:extLst>
          </c:dPt>
          <c:dLbls>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'People (Internal)'!$D$7:$E$7</c:f>
              <c:strCache>
                <c:ptCount val="2"/>
                <c:pt idx="0">
                  <c:v>Female</c:v>
                </c:pt>
                <c:pt idx="1">
                  <c:v>Male</c:v>
                </c:pt>
              </c:strCache>
            </c:strRef>
          </c:cat>
          <c:val>
            <c:numRef>
              <c:f>'People (Internal)'!$D$28:$E$28</c:f>
              <c:numCache>
                <c:formatCode>_-* #,##0_-;\-* #,##0_-;_-* "-"??_-;_-@_-</c:formatCode>
                <c:ptCount val="2"/>
                <c:pt idx="0">
                  <c:v>3773</c:v>
                </c:pt>
                <c:pt idx="1">
                  <c:v>8865</c:v>
                </c:pt>
              </c:numCache>
            </c:numRef>
          </c:val>
          <c:extLst>
            <c:ext xmlns:c16="http://schemas.microsoft.com/office/drawing/2014/chart" uri="{C3380CC4-5D6E-409C-BE32-E72D297353CC}">
              <c16:uniqueId val="{00000004-834D-4B20-B9A5-D9C651599274}"/>
            </c:ext>
          </c:extLst>
        </c:ser>
        <c:dLbls>
          <c:showLegendKey val="0"/>
          <c:showVal val="0"/>
          <c:showCatName val="0"/>
          <c:showSerName val="0"/>
          <c:showPercent val="1"/>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en-US"/>
              <a:t>Board in 2022/23</a:t>
            </a:r>
          </a:p>
        </c:rich>
      </c:tx>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2569746408616373"/>
          <c:y val="0.15452954318782783"/>
          <c:w val="0.40039008831354761"/>
          <c:h val="0.73358399349871806"/>
        </c:manualLayout>
      </c:layout>
      <c:doughnutChart>
        <c:varyColors val="1"/>
        <c:ser>
          <c:idx val="0"/>
          <c:order val="0"/>
          <c:tx>
            <c:strRef>
              <c:f>'People (Internal)'!$B$30</c:f>
              <c:strCache>
                <c:ptCount val="1"/>
                <c:pt idx="0">
                  <c:v>Board</c:v>
                </c:pt>
              </c:strCache>
            </c:strRef>
          </c:tx>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2C88-4A33-B816-80BDE33FD108}"/>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2C88-4A33-B816-80BDE33FD108}"/>
              </c:ext>
            </c:extLst>
          </c:dPt>
          <c:dLbls>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'People (Internal)'!$D$7:$E$7</c:f>
              <c:strCache>
                <c:ptCount val="2"/>
                <c:pt idx="0">
                  <c:v>Female</c:v>
                </c:pt>
                <c:pt idx="1">
                  <c:v>Male</c:v>
                </c:pt>
              </c:strCache>
            </c:strRef>
          </c:cat>
          <c:val>
            <c:numRef>
              <c:f>'People (Internal)'!$D$30:$E$30</c:f>
              <c:numCache>
                <c:formatCode>_-* #,##0_-;\-* #,##0_-;_-* "-"??_-;_-@_-</c:formatCode>
                <c:ptCount val="2"/>
                <c:pt idx="0">
                  <c:v>3</c:v>
                </c:pt>
                <c:pt idx="1">
                  <c:v>6</c:v>
                </c:pt>
              </c:numCache>
            </c:numRef>
          </c:val>
          <c:extLst>
            <c:ext xmlns:c16="http://schemas.microsoft.com/office/drawing/2014/chart" uri="{C3380CC4-5D6E-409C-BE32-E72D297353CC}">
              <c16:uniqueId val="{00000004-2C88-4A33-B816-80BDE33FD108}"/>
            </c:ext>
          </c:extLst>
        </c:ser>
        <c:dLbls>
          <c:showLegendKey val="0"/>
          <c:showVal val="0"/>
          <c:showCatName val="0"/>
          <c:showSerName val="0"/>
          <c:showPercent val="1"/>
          <c:showBubbleSize val="0"/>
          <c:showLeaderLines val="0"/>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r>
              <a:rPr lang="en-GB"/>
              <a:t>Employees by region</a:t>
            </a:r>
          </a:p>
        </c:rich>
      </c:tx>
      <c:layout>
        <c:manualLayout>
          <c:xMode val="edge"/>
          <c:yMode val="edge"/>
          <c:x val="0.31820878582299378"/>
          <c:y val="0.13089205858086897"/>
        </c:manualLayout>
      </c:layout>
      <c:overlay val="0"/>
      <c:spPr>
        <a:noFill/>
        <a:ln>
          <a:noFill/>
        </a:ln>
        <a:effectLst/>
      </c:spPr>
      <c:txPr>
        <a:bodyPr rot="0" spcFirstLastPara="1" vertOverflow="ellipsis" vert="horz" wrap="square" anchor="ctr" anchorCtr="1"/>
        <a:lstStyle/>
        <a:p>
          <a:pPr>
            <a:defRPr sz="1400" b="1" i="0" u="none" strike="noStrike" kern="1200" cap="all" spc="5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964832684014708"/>
          <c:y val="0.15269386228227844"/>
          <c:w val="0.44524035748141083"/>
          <c:h val="0.74137936697657858"/>
        </c:manualLayout>
      </c:layout>
      <c:doughnutChart>
        <c:varyColors val="1"/>
        <c:ser>
          <c:idx val="0"/>
          <c:order val="0"/>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DD63-4099-B26C-26F5EE17FAB4}"/>
              </c:ext>
            </c:extLst>
          </c:dPt>
          <c:dPt>
            <c:idx val="1"/>
            <c:bubble3D val="0"/>
            <c:spPr>
              <a:solidFill>
                <a:schemeClr val="accent2"/>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DD63-4099-B26C-26F5EE17FAB4}"/>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DD63-4099-B26C-26F5EE17FAB4}"/>
              </c:ext>
            </c:extLst>
          </c:dPt>
          <c:dPt>
            <c:idx val="3"/>
            <c:bubble3D val="0"/>
            <c:spPr>
              <a:solidFill>
                <a:schemeClr val="accent4"/>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DD63-4099-B26C-26F5EE17FAB4}"/>
              </c:ext>
            </c:extLst>
          </c:dPt>
          <c:dPt>
            <c:idx val="4"/>
            <c:bubble3D val="0"/>
            <c:spPr>
              <a:solidFill>
                <a:schemeClr val="accent5"/>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DD63-4099-B26C-26F5EE17FAB4}"/>
              </c:ext>
            </c:extLst>
          </c:dPt>
          <c:dLbls>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'People (Internal)'!$P$9:$P$13</c:f>
              <c:strCache>
                <c:ptCount val="5"/>
                <c:pt idx="0">
                  <c:v>UK </c:v>
                </c:pt>
                <c:pt idx="1">
                  <c:v>Rest of Europe</c:v>
                </c:pt>
                <c:pt idx="2">
                  <c:v>North America</c:v>
                </c:pt>
                <c:pt idx="3">
                  <c:v>Asia</c:v>
                </c:pt>
                <c:pt idx="4">
                  <c:v>Rest of World</c:v>
                </c:pt>
              </c:strCache>
            </c:strRef>
          </c:cat>
          <c:val>
            <c:numRef>
              <c:f>'People (Internal)'!$Q$9:$Q$13</c:f>
              <c:numCache>
                <c:formatCode>_-* #,##0_-;\-* #,##0_-;_-* "-"??_-;_-@_-</c:formatCode>
                <c:ptCount val="5"/>
                <c:pt idx="0">
                  <c:v>4079</c:v>
                </c:pt>
                <c:pt idx="1">
                  <c:v>2858</c:v>
                </c:pt>
                <c:pt idx="2">
                  <c:v>2186</c:v>
                </c:pt>
                <c:pt idx="3">
                  <c:v>2459</c:v>
                </c:pt>
                <c:pt idx="4">
                  <c:v>1056</c:v>
                </c:pt>
              </c:numCache>
            </c:numRef>
          </c:val>
          <c:extLst>
            <c:ext xmlns:c16="http://schemas.microsoft.com/office/drawing/2014/chart" uri="{C3380CC4-5D6E-409C-BE32-E72D297353CC}">
              <c16:uniqueId val="{0000000A-DD63-4099-B26C-26F5EE17FAB4}"/>
            </c:ext>
          </c:extLst>
        </c:ser>
        <c:dLbls>
          <c:showLegendKey val="0"/>
          <c:showVal val="0"/>
          <c:showCatName val="0"/>
          <c:showSerName val="0"/>
          <c:showPercent val="1"/>
          <c:showBubbleSize val="0"/>
          <c:showLeaderLines val="0"/>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6.png"/><Relationship Id="rId4" Type="http://schemas.openxmlformats.org/officeDocument/2006/relationships/hyperlink" Target="#Home!A1"/></Relationships>
</file>

<file path=xl/drawings/_rels/drawing1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Home!A1"/><Relationship Id="rId1" Type="http://schemas.openxmlformats.org/officeDocument/2006/relationships/image" Target="../media/image8.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chart" Target="../charts/chart4.xml"/><Relationship Id="rId5" Type="http://schemas.openxmlformats.org/officeDocument/2006/relationships/chart" Target="../charts/chart5.xml"/><Relationship Id="rId4" Type="http://schemas.openxmlformats.org/officeDocument/2006/relationships/hyperlink" Target="#Home!A1"/></Relationships>
</file>

<file path=xl/drawings/_rels/drawing19.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hyperlink" Target="#Home!A1"/><Relationship Id="rId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hyperlink" Target="#'ERM CVS Audited metrics'!A1"/></Relationships>
</file>

<file path=xl/drawings/_rels/drawing3.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A1"/></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228600</xdr:colOff>
      <xdr:row>35</xdr:row>
      <xdr:rowOff>67405</xdr:rowOff>
    </xdr:to>
    <xdr:pic>
      <xdr:nvPicPr>
        <xdr:cNvPr id="3" name="Picture 2">
          <a:extLst>
            <a:ext uri="{FF2B5EF4-FFF2-40B4-BE49-F238E27FC236}">
              <a16:creationId xmlns:a16="http://schemas.microsoft.com/office/drawing/2014/main" id="{8ADA8E1D-81B1-3338-8865-05E0950BF4D9}"/>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25000"/>
                  </a14:imgEffect>
                </a14:imgLayer>
              </a14:imgProps>
            </a:ext>
            <a:ext uri="{28A0092B-C50C-407E-A947-70E740481C1C}">
              <a14:useLocalDpi xmlns:a14="http://schemas.microsoft.com/office/drawing/2010/main" val="0"/>
            </a:ext>
          </a:extLst>
        </a:blip>
        <a:stretch>
          <a:fillRect/>
        </a:stretch>
      </xdr:blipFill>
      <xdr:spPr>
        <a:xfrm>
          <a:off x="0" y="0"/>
          <a:ext cx="9591675" cy="6400260"/>
        </a:xfrm>
        <a:prstGeom prst="rect">
          <a:avLst/>
        </a:prstGeom>
      </xdr:spPr>
    </xdr:pic>
    <xdr:clientData/>
  </xdr:twoCellAnchor>
  <xdr:twoCellAnchor>
    <xdr:from>
      <xdr:col>1</xdr:col>
      <xdr:colOff>162216</xdr:colOff>
      <xdr:row>1</xdr:row>
      <xdr:rowOff>164918</xdr:rowOff>
    </xdr:from>
    <xdr:to>
      <xdr:col>8</xdr:col>
      <xdr:colOff>591506</xdr:colOff>
      <xdr:row>28</xdr:row>
      <xdr:rowOff>64442</xdr:rowOff>
    </xdr:to>
    <xdr:grpSp>
      <xdr:nvGrpSpPr>
        <xdr:cNvPr id="18" name="Group 1">
          <a:extLst>
            <a:ext uri="{FF2B5EF4-FFF2-40B4-BE49-F238E27FC236}">
              <a16:creationId xmlns:a16="http://schemas.microsoft.com/office/drawing/2014/main" id="{1480446E-2E22-318E-D545-35C94028482D}"/>
            </a:ext>
          </a:extLst>
        </xdr:cNvPr>
        <xdr:cNvGrpSpPr/>
      </xdr:nvGrpSpPr>
      <xdr:grpSpPr>
        <a:xfrm>
          <a:off x="373354" y="340337"/>
          <a:ext cx="4766340" cy="4727905"/>
          <a:chOff x="428626" y="380998"/>
          <a:chExt cx="5238750" cy="5457827"/>
        </a:xfrm>
      </xdr:grpSpPr>
      <xdr:sp macro="" textlink="">
        <xdr:nvSpPr>
          <xdr:cNvPr id="20" name="TextBox 1">
            <a:extLst>
              <a:ext uri="{FF2B5EF4-FFF2-40B4-BE49-F238E27FC236}">
                <a16:creationId xmlns:a16="http://schemas.microsoft.com/office/drawing/2014/main" id="{80F0304A-6FD6-F7BF-80C8-0ADCDF484388}"/>
              </a:ext>
              <a:ext uri="{147F2762-F138-4A5C-976F-8EAC2B608ADB}">
                <a16:predDERef xmlns:a16="http://schemas.microsoft.com/office/drawing/2014/main" pred="{66234201-24E9-79C6-216C-906E7BAC5C6A}"/>
              </a:ext>
            </a:extLst>
          </xdr:cNvPr>
          <xdr:cNvSpPr txBox="1"/>
        </xdr:nvSpPr>
        <xdr:spPr>
          <a:xfrm>
            <a:off x="428626" y="380998"/>
            <a:ext cx="5238750" cy="2934934"/>
          </a:xfrm>
          <a:prstGeom prst="rect">
            <a:avLst/>
          </a:prstGeom>
          <a:noFill/>
          <a:ln w="9525" cmpd="sng">
            <a:noFill/>
          </a:ln>
        </xdr:spPr>
        <xdr:txBody>
          <a:bodyPr spcFirstLastPara="0" vertOverflow="clip" horzOverflow="clip" wrap="square" lIns="91440" tIns="45720" rIns="91440" bIns="45720" rtlCol="0" anchor="t">
            <a:noAutofit/>
          </a:bodyPr>
          <a:lstStyle/>
          <a:p>
            <a:pPr marL="0" indent="0" algn="l"/>
            <a:r>
              <a:rPr lang="en-US" sz="3200" b="1" i="0" u="none" strike="noStrike">
                <a:solidFill>
                  <a:srgbClr val="1E22AA"/>
                </a:solidFill>
                <a:latin typeface="Verdana" panose="020B0604030504040204" pitchFamily="34" charset="0"/>
                <a:ea typeface="Verdana" panose="020B0604030504040204" pitchFamily="34" charset="0"/>
              </a:rPr>
              <a:t>Sustainability Performance Databook</a:t>
            </a:r>
            <a:br>
              <a:rPr lang="en-US" sz="3200" b="1" i="0" u="none" strike="noStrike">
                <a:solidFill>
                  <a:srgbClr val="1E22AA"/>
                </a:solidFill>
                <a:latin typeface="Verdana" panose="020B0604030504040204" pitchFamily="34" charset="0"/>
                <a:ea typeface="Verdana" panose="020B0604030504040204" pitchFamily="34" charset="0"/>
              </a:rPr>
            </a:br>
            <a:r>
              <a:rPr lang="en-US" sz="3200" b="1" i="0" u="none" strike="noStrike">
                <a:solidFill>
                  <a:srgbClr val="1E22AA"/>
                </a:solidFill>
                <a:latin typeface="Verdana" panose="020B0604030504040204" pitchFamily="34" charset="0"/>
                <a:ea typeface="Verdana" panose="020B0604030504040204" pitchFamily="34" charset="0"/>
              </a:rPr>
              <a:t>2023</a:t>
            </a:r>
          </a:p>
        </xdr:txBody>
      </xdr:sp>
      <xdr:pic>
        <xdr:nvPicPr>
          <xdr:cNvPr id="22" name="Picture 4">
            <a:extLst>
              <a:ext uri="{FF2B5EF4-FFF2-40B4-BE49-F238E27FC236}">
                <a16:creationId xmlns:a16="http://schemas.microsoft.com/office/drawing/2014/main" id="{9845EFAE-5E69-A348-58A3-DD19DCCF5F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0225" y="5334000"/>
            <a:ext cx="4172818" cy="504825"/>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1160670</xdr:colOff>
      <xdr:row>1</xdr:row>
      <xdr:rowOff>97031</xdr:rowOff>
    </xdr:from>
    <xdr:to>
      <xdr:col>9</xdr:col>
      <xdr:colOff>1930400</xdr:colOff>
      <xdr:row>2</xdr:row>
      <xdr:rowOff>20832</xdr:rowOff>
    </xdr:to>
    <xdr:sp macro="" textlink="">
      <xdr:nvSpPr>
        <xdr:cNvPr id="17" name="Rectangle: Rounded Corners 2">
          <a:hlinkClick xmlns:r="http://schemas.openxmlformats.org/officeDocument/2006/relationships" r:id="rId1"/>
          <a:extLst>
            <a:ext uri="{FF2B5EF4-FFF2-40B4-BE49-F238E27FC236}">
              <a16:creationId xmlns:a16="http://schemas.microsoft.com/office/drawing/2014/main" id="{3E261B2F-BE81-4A2F-97E3-5FB8DCF7FAEF}"/>
            </a:ext>
          </a:extLst>
        </xdr:cNvPr>
        <xdr:cNvSpPr/>
      </xdr:nvSpPr>
      <xdr:spPr>
        <a:xfrm>
          <a:off x="14412326" y="263719"/>
          <a:ext cx="769730" cy="471488"/>
        </a:xfrm>
        <a:prstGeom prst="roundRect">
          <a:avLst/>
        </a:prstGeom>
        <a:solidFill>
          <a:srgbClr val="1E22A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3</xdr:col>
      <xdr:colOff>1921039</xdr:colOff>
      <xdr:row>2</xdr:row>
      <xdr:rowOff>37118</xdr:rowOff>
    </xdr:from>
    <xdr:to>
      <xdr:col>5</xdr:col>
      <xdr:colOff>400711</xdr:colOff>
      <xdr:row>19</xdr:row>
      <xdr:rowOff>112077</xdr:rowOff>
    </xdr:to>
    <xdr:pic>
      <xdr:nvPicPr>
        <xdr:cNvPr id="22" name="Picture 5">
          <a:extLst>
            <a:ext uri="{FF2B5EF4-FFF2-40B4-BE49-F238E27FC236}">
              <a16:creationId xmlns:a16="http://schemas.microsoft.com/office/drawing/2014/main" id="{CECFFF37-54D0-16DB-DBBF-CB53E4E79D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92977" y="751493"/>
          <a:ext cx="3492203" cy="324202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2</xdr:col>
      <xdr:colOff>914400</xdr:colOff>
      <xdr:row>1</xdr:row>
      <xdr:rowOff>190500</xdr:rowOff>
    </xdr:from>
    <xdr:ext cx="3137590" cy="264560"/>
    <xdr:sp macro="" textlink="">
      <xdr:nvSpPr>
        <xdr:cNvPr id="2" name="TextBox 1">
          <a:extLst>
            <a:ext uri="{FF2B5EF4-FFF2-40B4-BE49-F238E27FC236}">
              <a16:creationId xmlns:a16="http://schemas.microsoft.com/office/drawing/2014/main" id="{AF340EC5-CA7B-478F-8D3E-5D7FA844E006}"/>
            </a:ext>
          </a:extLst>
        </xdr:cNvPr>
        <xdr:cNvSpPr txBox="1"/>
      </xdr:nvSpPr>
      <xdr:spPr>
        <a:xfrm>
          <a:off x="6410325" y="371475"/>
          <a:ext cx="3137590" cy="264560"/>
        </a:xfrm>
        <a:prstGeom prst="rect">
          <a:avLst/>
        </a:prstGeom>
        <a:solidFill>
          <a:srgbClr val="FF0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Owner</a:t>
          </a:r>
          <a:r>
            <a:rPr lang="en-GB" sz="1100" baseline="0"/>
            <a:t> - Tony Malone, Georgina Baker, Louise Todd</a:t>
          </a:r>
          <a:endParaRPr lang="en-GB" sz="1100"/>
        </a:p>
      </xdr:txBody>
    </xdr:sp>
    <xdr:clientData/>
  </xdr:oneCellAnchor>
  <xdr:twoCellAnchor>
    <xdr:from>
      <xdr:col>1</xdr:col>
      <xdr:colOff>436462</xdr:colOff>
      <xdr:row>3</xdr:row>
      <xdr:rowOff>1781857</xdr:rowOff>
    </xdr:from>
    <xdr:to>
      <xdr:col>3</xdr:col>
      <xdr:colOff>924949</xdr:colOff>
      <xdr:row>5</xdr:row>
      <xdr:rowOff>62595</xdr:rowOff>
    </xdr:to>
    <xdr:sp macro="" textlink="">
      <xdr:nvSpPr>
        <xdr:cNvPr id="3" name="TextBox 2">
          <a:extLst>
            <a:ext uri="{FF2B5EF4-FFF2-40B4-BE49-F238E27FC236}">
              <a16:creationId xmlns:a16="http://schemas.microsoft.com/office/drawing/2014/main" id="{8140C983-3BFC-9976-1E85-D5C41D83C3EF}"/>
            </a:ext>
          </a:extLst>
        </xdr:cNvPr>
        <xdr:cNvSpPr txBox="1"/>
      </xdr:nvSpPr>
      <xdr:spPr>
        <a:xfrm rot="21047830">
          <a:off x="1463045" y="2713190"/>
          <a:ext cx="13505987" cy="788988"/>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a:t>DO NOT USE THESE NUMBERS</a:t>
          </a:r>
          <a:r>
            <a:rPr lang="en-GB" sz="2800" baseline="0"/>
            <a:t> IN THE ARA - HIDE TAB - FOR INTERNAL PURPOSES ONLY!!!</a:t>
          </a:r>
          <a:endParaRPr lang="en-GB" sz="28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317500</xdr:colOff>
      <xdr:row>1</xdr:row>
      <xdr:rowOff>301625</xdr:rowOff>
    </xdr:from>
    <xdr:to>
      <xdr:col>8</xdr:col>
      <xdr:colOff>981077</xdr:colOff>
      <xdr:row>2</xdr:row>
      <xdr:rowOff>155576</xdr:rowOff>
    </xdr:to>
    <xdr:sp macro="" textlink="">
      <xdr:nvSpPr>
        <xdr:cNvPr id="9" name="Rectangle: Rounded Corners 2">
          <a:hlinkClick xmlns:r="http://schemas.openxmlformats.org/officeDocument/2006/relationships" r:id="rId1"/>
          <a:extLst>
            <a:ext uri="{FF2B5EF4-FFF2-40B4-BE49-F238E27FC236}">
              <a16:creationId xmlns:a16="http://schemas.microsoft.com/office/drawing/2014/main" id="{093B8847-9CDF-4EED-9F94-0DD9DAA73B5E}"/>
            </a:ext>
          </a:extLst>
        </xdr:cNvPr>
        <xdr:cNvSpPr/>
      </xdr:nvSpPr>
      <xdr:spPr>
        <a:xfrm>
          <a:off x="18113375" y="476250"/>
          <a:ext cx="663577" cy="298451"/>
        </a:xfrm>
        <a:prstGeom prst="roundRect">
          <a:avLst/>
        </a:prstGeom>
        <a:solidFill>
          <a:srgbClr val="0000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1</xdr:col>
      <xdr:colOff>1135380</xdr:colOff>
      <xdr:row>1</xdr:row>
      <xdr:rowOff>57510</xdr:rowOff>
    </xdr:from>
    <xdr:to>
      <xdr:col>1</xdr:col>
      <xdr:colOff>2293620</xdr:colOff>
      <xdr:row>3</xdr:row>
      <xdr:rowOff>159385</xdr:rowOff>
    </xdr:to>
    <xdr:pic>
      <xdr:nvPicPr>
        <xdr:cNvPr id="2" name="Picture 1">
          <a:extLst>
            <a:ext uri="{FF2B5EF4-FFF2-40B4-BE49-F238E27FC236}">
              <a16:creationId xmlns:a16="http://schemas.microsoft.com/office/drawing/2014/main" id="{E29B2D67-C84F-675B-7635-AE9909896A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00505" y="232135"/>
          <a:ext cx="1164590" cy="1060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297656</xdr:colOff>
      <xdr:row>1</xdr:row>
      <xdr:rowOff>7027</xdr:rowOff>
    </xdr:from>
    <xdr:to>
      <xdr:col>11</xdr:col>
      <xdr:colOff>979353</xdr:colOff>
      <xdr:row>1</xdr:row>
      <xdr:rowOff>312736</xdr:rowOff>
    </xdr:to>
    <xdr:sp macro="" textlink="">
      <xdr:nvSpPr>
        <xdr:cNvPr id="6" name="Rectangle: Rounded Corners 2">
          <a:hlinkClick xmlns:r="http://schemas.openxmlformats.org/officeDocument/2006/relationships" r:id="rId1"/>
          <a:extLst>
            <a:ext uri="{FF2B5EF4-FFF2-40B4-BE49-F238E27FC236}">
              <a16:creationId xmlns:a16="http://schemas.microsoft.com/office/drawing/2014/main" id="{2F63B64C-E4D2-40C0-BA52-9AAFED5E83BF}"/>
            </a:ext>
          </a:extLst>
        </xdr:cNvPr>
        <xdr:cNvSpPr/>
      </xdr:nvSpPr>
      <xdr:spPr>
        <a:xfrm>
          <a:off x="16883062" y="173715"/>
          <a:ext cx="681697" cy="305709"/>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1</xdr:col>
      <xdr:colOff>1063988</xdr:colOff>
      <xdr:row>0</xdr:row>
      <xdr:rowOff>88810</xdr:rowOff>
    </xdr:from>
    <xdr:to>
      <xdr:col>1</xdr:col>
      <xdr:colOff>2189342</xdr:colOff>
      <xdr:row>2</xdr:row>
      <xdr:rowOff>562430</xdr:rowOff>
    </xdr:to>
    <xdr:pic>
      <xdr:nvPicPr>
        <xdr:cNvPr id="2" name="Picture 1">
          <a:extLst>
            <a:ext uri="{FF2B5EF4-FFF2-40B4-BE49-F238E27FC236}">
              <a16:creationId xmlns:a16="http://schemas.microsoft.com/office/drawing/2014/main" id="{E9118793-38C1-403E-B6E8-D1816BD9F4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67238" y="88810"/>
          <a:ext cx="1125354" cy="110703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371475</xdr:colOff>
      <xdr:row>32</xdr:row>
      <xdr:rowOff>126998</xdr:rowOff>
    </xdr:from>
    <xdr:to>
      <xdr:col>19</xdr:col>
      <xdr:colOff>56355</xdr:colOff>
      <xdr:row>47</xdr:row>
      <xdr:rowOff>122464</xdr:rowOff>
    </xdr:to>
    <xdr:graphicFrame macro="">
      <xdr:nvGraphicFramePr>
        <xdr:cNvPr id="52" name="Chart 2">
          <a:extLst>
            <a:ext uri="{FF2B5EF4-FFF2-40B4-BE49-F238E27FC236}">
              <a16:creationId xmlns:a16="http://schemas.microsoft.com/office/drawing/2014/main" id="{AFA120A1-9F7D-1A42-F4C5-C17BC41342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340179</xdr:colOff>
      <xdr:row>3</xdr:row>
      <xdr:rowOff>152399</xdr:rowOff>
    </xdr:from>
    <xdr:to>
      <xdr:col>19</xdr:col>
      <xdr:colOff>38100</xdr:colOff>
      <xdr:row>18</xdr:row>
      <xdr:rowOff>54429</xdr:rowOff>
    </xdr:to>
    <xdr:graphicFrame macro="">
      <xdr:nvGraphicFramePr>
        <xdr:cNvPr id="50" name="Chart 3">
          <a:extLst>
            <a:ext uri="{FF2B5EF4-FFF2-40B4-BE49-F238E27FC236}">
              <a16:creationId xmlns:a16="http://schemas.microsoft.com/office/drawing/2014/main" id="{EA97AE52-2D1D-463E-BA15-03F501890F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360250</xdr:colOff>
      <xdr:row>18</xdr:row>
      <xdr:rowOff>167365</xdr:rowOff>
    </xdr:from>
    <xdr:to>
      <xdr:col>19</xdr:col>
      <xdr:colOff>59645</xdr:colOff>
      <xdr:row>32</xdr:row>
      <xdr:rowOff>35375</xdr:rowOff>
    </xdr:to>
    <xdr:graphicFrame macro="">
      <xdr:nvGraphicFramePr>
        <xdr:cNvPr id="47" name="Chart 4">
          <a:extLst>
            <a:ext uri="{FF2B5EF4-FFF2-40B4-BE49-F238E27FC236}">
              <a16:creationId xmlns:a16="http://schemas.microsoft.com/office/drawing/2014/main" id="{94A6C88C-C0EF-484F-ACAE-4D9CA5F70C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64680</xdr:colOff>
      <xdr:row>1</xdr:row>
      <xdr:rowOff>253002</xdr:rowOff>
    </xdr:from>
    <xdr:to>
      <xdr:col>18</xdr:col>
      <xdr:colOff>771436</xdr:colOff>
      <xdr:row>1</xdr:row>
      <xdr:rowOff>557803</xdr:rowOff>
    </xdr:to>
    <xdr:sp macro="" textlink="">
      <xdr:nvSpPr>
        <xdr:cNvPr id="2" name="Rectangle: Rounded Corners 6">
          <a:hlinkClick xmlns:r="http://schemas.openxmlformats.org/officeDocument/2006/relationships" r:id="rId4"/>
          <a:extLst>
            <a:ext uri="{FF2B5EF4-FFF2-40B4-BE49-F238E27FC236}">
              <a16:creationId xmlns:a16="http://schemas.microsoft.com/office/drawing/2014/main" id="{118A3D8D-AA14-475A-8441-348DA23A9874}"/>
            </a:ext>
          </a:extLst>
        </xdr:cNvPr>
        <xdr:cNvSpPr/>
      </xdr:nvSpPr>
      <xdr:spPr>
        <a:xfrm>
          <a:off x="21670555" y="411752"/>
          <a:ext cx="706756" cy="304801"/>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1</xdr:col>
      <xdr:colOff>2680970</xdr:colOff>
      <xdr:row>1</xdr:row>
      <xdr:rowOff>1905</xdr:rowOff>
    </xdr:from>
    <xdr:to>
      <xdr:col>1</xdr:col>
      <xdr:colOff>3808320</xdr:colOff>
      <xdr:row>3</xdr:row>
      <xdr:rowOff>92938</xdr:rowOff>
    </xdr:to>
    <xdr:pic>
      <xdr:nvPicPr>
        <xdr:cNvPr id="3" name="Picture 2">
          <a:extLst>
            <a:ext uri="{FF2B5EF4-FFF2-40B4-BE49-F238E27FC236}">
              <a16:creationId xmlns:a16="http://schemas.microsoft.com/office/drawing/2014/main" id="{61121C86-20A4-4F38-82A3-C1D0578587A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39720" y="160655"/>
          <a:ext cx="1127350" cy="102765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697865</xdr:colOff>
      <xdr:row>1</xdr:row>
      <xdr:rowOff>24765</xdr:rowOff>
    </xdr:from>
    <xdr:to>
      <xdr:col>11</xdr:col>
      <xdr:colOff>1356996</xdr:colOff>
      <xdr:row>1</xdr:row>
      <xdr:rowOff>329566</xdr:rowOff>
    </xdr:to>
    <xdr:sp macro="" textlink="">
      <xdr:nvSpPr>
        <xdr:cNvPr id="7" name="Rectangle: Rounded Corners 3">
          <a:hlinkClick xmlns:r="http://schemas.openxmlformats.org/officeDocument/2006/relationships" r:id="rId1"/>
          <a:extLst>
            <a:ext uri="{FF2B5EF4-FFF2-40B4-BE49-F238E27FC236}">
              <a16:creationId xmlns:a16="http://schemas.microsoft.com/office/drawing/2014/main" id="{C73CE76F-9381-4711-A3B7-9A56AB2B6933}"/>
            </a:ext>
          </a:extLst>
        </xdr:cNvPr>
        <xdr:cNvSpPr/>
      </xdr:nvSpPr>
      <xdr:spPr>
        <a:xfrm>
          <a:off x="23907115" y="199390"/>
          <a:ext cx="659131" cy="304801"/>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1</xdr:col>
      <xdr:colOff>3177540</xdr:colOff>
      <xdr:row>0</xdr:row>
      <xdr:rowOff>0</xdr:rowOff>
    </xdr:from>
    <xdr:to>
      <xdr:col>1</xdr:col>
      <xdr:colOff>4229597</xdr:colOff>
      <xdr:row>3</xdr:row>
      <xdr:rowOff>93845</xdr:rowOff>
    </xdr:to>
    <xdr:pic>
      <xdr:nvPicPr>
        <xdr:cNvPr id="2" name="Picture 1">
          <a:extLst>
            <a:ext uri="{FF2B5EF4-FFF2-40B4-BE49-F238E27FC236}">
              <a16:creationId xmlns:a16="http://schemas.microsoft.com/office/drawing/2014/main" id="{C9852A7D-E347-48B8-B993-84495520A3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31540" y="0"/>
          <a:ext cx="1052057" cy="106222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1535</xdr:colOff>
      <xdr:row>12</xdr:row>
      <xdr:rowOff>34924</xdr:rowOff>
    </xdr:from>
    <xdr:to>
      <xdr:col>2</xdr:col>
      <xdr:colOff>2638425</xdr:colOff>
      <xdr:row>23</xdr:row>
      <xdr:rowOff>116417</xdr:rowOff>
    </xdr:to>
    <xdr:pic>
      <xdr:nvPicPr>
        <xdr:cNvPr id="9" name="Picture 2">
          <a:extLst>
            <a:ext uri="{FF2B5EF4-FFF2-40B4-BE49-F238E27FC236}">
              <a16:creationId xmlns:a16="http://schemas.microsoft.com/office/drawing/2014/main" id="{C66B3D88-F7AB-D2DE-62C7-F7ABB5C972C1}"/>
            </a:ext>
          </a:extLst>
        </xdr:cNvPr>
        <xdr:cNvPicPr>
          <a:picLocks noChangeAspect="1"/>
        </xdr:cNvPicPr>
      </xdr:nvPicPr>
      <xdr:blipFill>
        <a:blip xmlns:r="http://schemas.openxmlformats.org/officeDocument/2006/relationships" r:embed="rId1"/>
        <a:stretch>
          <a:fillRect/>
        </a:stretch>
      </xdr:blipFill>
      <xdr:spPr>
        <a:xfrm>
          <a:off x="181452" y="2850091"/>
          <a:ext cx="5438298" cy="1944159"/>
        </a:xfrm>
        <a:prstGeom prst="rect">
          <a:avLst/>
        </a:prstGeom>
      </xdr:spPr>
    </xdr:pic>
    <xdr:clientData/>
  </xdr:twoCellAnchor>
  <xdr:twoCellAnchor>
    <xdr:from>
      <xdr:col>8</xdr:col>
      <xdr:colOff>76200</xdr:colOff>
      <xdr:row>1</xdr:row>
      <xdr:rowOff>123825</xdr:rowOff>
    </xdr:from>
    <xdr:to>
      <xdr:col>8</xdr:col>
      <xdr:colOff>733426</xdr:colOff>
      <xdr:row>1</xdr:row>
      <xdr:rowOff>428626</xdr:rowOff>
    </xdr:to>
    <xdr:sp macro="" textlink="">
      <xdr:nvSpPr>
        <xdr:cNvPr id="5" name="Rectangle: Rounded Corners 3">
          <a:hlinkClick xmlns:r="http://schemas.openxmlformats.org/officeDocument/2006/relationships" r:id="rId2"/>
          <a:extLst>
            <a:ext uri="{FF2B5EF4-FFF2-40B4-BE49-F238E27FC236}">
              <a16:creationId xmlns:a16="http://schemas.microsoft.com/office/drawing/2014/main" id="{44F536BB-F50C-4C0E-BBF6-2C97D7936A72}"/>
            </a:ext>
          </a:extLst>
        </xdr:cNvPr>
        <xdr:cNvSpPr/>
      </xdr:nvSpPr>
      <xdr:spPr>
        <a:xfrm>
          <a:off x="10525125" y="295275"/>
          <a:ext cx="657226" cy="304801"/>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2</xdr:col>
      <xdr:colOff>555836</xdr:colOff>
      <xdr:row>0</xdr:row>
      <xdr:rowOff>0</xdr:rowOff>
    </xdr:from>
    <xdr:to>
      <xdr:col>2</xdr:col>
      <xdr:colOff>1669700</xdr:colOff>
      <xdr:row>2</xdr:row>
      <xdr:rowOff>274820</xdr:rowOff>
    </xdr:to>
    <xdr:pic>
      <xdr:nvPicPr>
        <xdr:cNvPr id="2" name="Picture 1">
          <a:extLst>
            <a:ext uri="{FF2B5EF4-FFF2-40B4-BE49-F238E27FC236}">
              <a16:creationId xmlns:a16="http://schemas.microsoft.com/office/drawing/2014/main" id="{6590B2EE-00BC-41C6-82B0-76A6902EB3E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40336" y="0"/>
          <a:ext cx="1110689" cy="106539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7</xdr:col>
      <xdr:colOff>485775</xdr:colOff>
      <xdr:row>1</xdr:row>
      <xdr:rowOff>104775</xdr:rowOff>
    </xdr:from>
    <xdr:to>
      <xdr:col>8</xdr:col>
      <xdr:colOff>533401</xdr:colOff>
      <xdr:row>1</xdr:row>
      <xdr:rowOff>409576</xdr:rowOff>
    </xdr:to>
    <xdr:sp macro="" textlink="">
      <xdr:nvSpPr>
        <xdr:cNvPr id="4" name="Rectangle: Rounded Corners 2">
          <a:hlinkClick xmlns:r="http://schemas.openxmlformats.org/officeDocument/2006/relationships" r:id="rId1"/>
          <a:extLst>
            <a:ext uri="{FF2B5EF4-FFF2-40B4-BE49-F238E27FC236}">
              <a16:creationId xmlns:a16="http://schemas.microsoft.com/office/drawing/2014/main" id="{F1CDAC9D-CFC4-4576-9B48-9B197D8A1814}"/>
            </a:ext>
          </a:extLst>
        </xdr:cNvPr>
        <xdr:cNvSpPr/>
      </xdr:nvSpPr>
      <xdr:spPr>
        <a:xfrm>
          <a:off x="9658350" y="276225"/>
          <a:ext cx="657226" cy="304801"/>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4</xdr:col>
      <xdr:colOff>50587</xdr:colOff>
      <xdr:row>14</xdr:row>
      <xdr:rowOff>53974</xdr:rowOff>
    </xdr:from>
    <xdr:to>
      <xdr:col>11</xdr:col>
      <xdr:colOff>68149</xdr:colOff>
      <xdr:row>22</xdr:row>
      <xdr:rowOff>2117</xdr:rowOff>
    </xdr:to>
    <xdr:pic>
      <xdr:nvPicPr>
        <xdr:cNvPr id="2" name="Picture 1">
          <a:extLst>
            <a:ext uri="{FF2B5EF4-FFF2-40B4-BE49-F238E27FC236}">
              <a16:creationId xmlns:a16="http://schemas.microsoft.com/office/drawing/2014/main" id="{06FCF078-B7B3-7B5C-ED9E-DD0677DD6C3B}"/>
            </a:ext>
          </a:extLst>
        </xdr:cNvPr>
        <xdr:cNvPicPr>
          <a:picLocks noChangeAspect="1"/>
        </xdr:cNvPicPr>
      </xdr:nvPicPr>
      <xdr:blipFill>
        <a:blip xmlns:r="http://schemas.openxmlformats.org/officeDocument/2006/relationships" r:embed="rId2"/>
        <a:stretch>
          <a:fillRect/>
        </a:stretch>
      </xdr:blipFill>
      <xdr:spPr>
        <a:xfrm>
          <a:off x="6114837" y="3387724"/>
          <a:ext cx="4973737" cy="3713692"/>
        </a:xfrm>
        <a:prstGeom prst="rect">
          <a:avLst/>
        </a:prstGeom>
      </xdr:spPr>
    </xdr:pic>
    <xdr:clientData/>
  </xdr:twoCellAnchor>
  <xdr:twoCellAnchor editAs="oneCell">
    <xdr:from>
      <xdr:col>1</xdr:col>
      <xdr:colOff>3097530</xdr:colOff>
      <xdr:row>0</xdr:row>
      <xdr:rowOff>59532</xdr:rowOff>
    </xdr:from>
    <xdr:to>
      <xdr:col>2</xdr:col>
      <xdr:colOff>694763</xdr:colOff>
      <xdr:row>2</xdr:row>
      <xdr:rowOff>75907</xdr:rowOff>
    </xdr:to>
    <xdr:pic>
      <xdr:nvPicPr>
        <xdr:cNvPr id="5" name="Picture 4">
          <a:extLst>
            <a:ext uri="{FF2B5EF4-FFF2-40B4-BE49-F238E27FC236}">
              <a16:creationId xmlns:a16="http://schemas.microsoft.com/office/drawing/2014/main" id="{7A49DB5D-ED79-EA4F-EAC1-F8B975208F5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64218" y="59532"/>
          <a:ext cx="1228639" cy="10998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497228</xdr:colOff>
      <xdr:row>24</xdr:row>
      <xdr:rowOff>1929</xdr:rowOff>
    </xdr:from>
    <xdr:to>
      <xdr:col>14</xdr:col>
      <xdr:colOff>544286</xdr:colOff>
      <xdr:row>44</xdr:row>
      <xdr:rowOff>191181</xdr:rowOff>
    </xdr:to>
    <xdr:graphicFrame macro="">
      <xdr:nvGraphicFramePr>
        <xdr:cNvPr id="98" name="Chart 2">
          <a:extLst>
            <a:ext uri="{FF2B5EF4-FFF2-40B4-BE49-F238E27FC236}">
              <a16:creationId xmlns:a16="http://schemas.microsoft.com/office/drawing/2014/main" id="{EF85B7F5-FAA5-CA79-6E34-3EEE753361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122919</xdr:colOff>
      <xdr:row>4</xdr:row>
      <xdr:rowOff>151361</xdr:rowOff>
    </xdr:from>
    <xdr:to>
      <xdr:col>1</xdr:col>
      <xdr:colOff>93014</xdr:colOff>
      <xdr:row>10</xdr:row>
      <xdr:rowOff>37711</xdr:rowOff>
    </xdr:to>
    <xdr:pic>
      <xdr:nvPicPr>
        <xdr:cNvPr id="50" name="Picture 7">
          <a:extLst>
            <a:ext uri="{FF2B5EF4-FFF2-40B4-BE49-F238E27FC236}">
              <a16:creationId xmlns:a16="http://schemas.microsoft.com/office/drawing/2014/main" id="{041C861C-F3F2-D245-7F43-1EBCB30FD5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2919" y="2951711"/>
          <a:ext cx="1455995" cy="1410350"/>
        </a:xfrm>
        <a:prstGeom prst="rect">
          <a:avLst/>
        </a:prstGeom>
      </xdr:spPr>
    </xdr:pic>
    <xdr:clientData/>
  </xdr:twoCellAnchor>
  <xdr:twoCellAnchor editAs="oneCell">
    <xdr:from>
      <xdr:col>0</xdr:col>
      <xdr:colOff>0</xdr:colOff>
      <xdr:row>43</xdr:row>
      <xdr:rowOff>104775</xdr:rowOff>
    </xdr:from>
    <xdr:to>
      <xdr:col>0</xdr:col>
      <xdr:colOff>1460445</xdr:colOff>
      <xdr:row>49</xdr:row>
      <xdr:rowOff>143525</xdr:rowOff>
    </xdr:to>
    <xdr:pic>
      <xdr:nvPicPr>
        <xdr:cNvPr id="49" name="Picture 9">
          <a:extLst>
            <a:ext uri="{FF2B5EF4-FFF2-40B4-BE49-F238E27FC236}">
              <a16:creationId xmlns:a16="http://schemas.microsoft.com/office/drawing/2014/main" id="{4B56EA8C-A1BB-E78F-F563-DB98323B4B4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6697325"/>
          <a:ext cx="1457270" cy="1410350"/>
        </a:xfrm>
        <a:prstGeom prst="rect">
          <a:avLst/>
        </a:prstGeom>
      </xdr:spPr>
    </xdr:pic>
    <xdr:clientData/>
  </xdr:twoCellAnchor>
  <xdr:twoCellAnchor>
    <xdr:from>
      <xdr:col>12</xdr:col>
      <xdr:colOff>1825625</xdr:colOff>
      <xdr:row>1</xdr:row>
      <xdr:rowOff>269875</xdr:rowOff>
    </xdr:from>
    <xdr:to>
      <xdr:col>13</xdr:col>
      <xdr:colOff>371476</xdr:colOff>
      <xdr:row>2</xdr:row>
      <xdr:rowOff>130176</xdr:rowOff>
    </xdr:to>
    <xdr:sp macro="" textlink="">
      <xdr:nvSpPr>
        <xdr:cNvPr id="52" name="Rectangle: Rounded Corners 3">
          <a:hlinkClick xmlns:r="http://schemas.openxmlformats.org/officeDocument/2006/relationships" r:id="rId4"/>
          <a:extLst>
            <a:ext uri="{FF2B5EF4-FFF2-40B4-BE49-F238E27FC236}">
              <a16:creationId xmlns:a16="http://schemas.microsoft.com/office/drawing/2014/main" id="{4B65A18E-0926-4173-8FBB-53A05A140924}"/>
            </a:ext>
          </a:extLst>
        </xdr:cNvPr>
        <xdr:cNvSpPr/>
      </xdr:nvSpPr>
      <xdr:spPr>
        <a:xfrm>
          <a:off x="36369625" y="444500"/>
          <a:ext cx="657226" cy="304801"/>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twoCellAnchor>
    <xdr:from>
      <xdr:col>14</xdr:col>
      <xdr:colOff>458107</xdr:colOff>
      <xdr:row>125</xdr:row>
      <xdr:rowOff>137773</xdr:rowOff>
    </xdr:from>
    <xdr:to>
      <xdr:col>20</xdr:col>
      <xdr:colOff>181882</xdr:colOff>
      <xdr:row>138</xdr:row>
      <xdr:rowOff>95933</xdr:rowOff>
    </xdr:to>
    <xdr:graphicFrame macro="">
      <xdr:nvGraphicFramePr>
        <xdr:cNvPr id="104" name="Chart 4">
          <a:extLst>
            <a:ext uri="{FF2B5EF4-FFF2-40B4-BE49-F238E27FC236}">
              <a16:creationId xmlns:a16="http://schemas.microsoft.com/office/drawing/2014/main" id="{48B8429D-BFB1-3EC3-0D5F-13B5B60D8ED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20</xdr:col>
      <xdr:colOff>189080</xdr:colOff>
      <xdr:row>8</xdr:row>
      <xdr:rowOff>57150</xdr:rowOff>
    </xdr:from>
    <xdr:to>
      <xdr:col>27</xdr:col>
      <xdr:colOff>390525</xdr:colOff>
      <xdr:row>30</xdr:row>
      <xdr:rowOff>31297</xdr:rowOff>
    </xdr:to>
    <xdr:graphicFrame macro="">
      <xdr:nvGraphicFramePr>
        <xdr:cNvPr id="9" name="Chart 1">
          <a:extLst>
            <a:ext uri="{FF2B5EF4-FFF2-40B4-BE49-F238E27FC236}">
              <a16:creationId xmlns:a16="http://schemas.microsoft.com/office/drawing/2014/main" id="{50694A66-7234-4753-915B-6DF55400AE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162380</xdr:colOff>
      <xdr:row>37</xdr:row>
      <xdr:rowOff>9979</xdr:rowOff>
    </xdr:from>
    <xdr:to>
      <xdr:col>22</xdr:col>
      <xdr:colOff>22680</xdr:colOff>
      <xdr:row>51</xdr:row>
      <xdr:rowOff>31750</xdr:rowOff>
    </xdr:to>
    <xdr:graphicFrame macro="">
      <xdr:nvGraphicFramePr>
        <xdr:cNvPr id="12" name="Chart 2">
          <a:extLst>
            <a:ext uri="{FF2B5EF4-FFF2-40B4-BE49-F238E27FC236}">
              <a16:creationId xmlns:a16="http://schemas.microsoft.com/office/drawing/2014/main" id="{1242BAD5-1AB1-4F48-8169-83AD292F6A1B}"/>
            </a:ext>
            <a:ext uri="{147F2762-F138-4A5C-976F-8EAC2B608ADB}">
              <a16:predDERef xmlns:a16="http://schemas.microsoft.com/office/drawing/2014/main" pred="{F9EEF4F5-F48E-D973-8E1E-1E0EA77E84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131190</xdr:colOff>
      <xdr:row>6</xdr:row>
      <xdr:rowOff>105340</xdr:rowOff>
    </xdr:from>
    <xdr:to>
      <xdr:col>21</xdr:col>
      <xdr:colOff>517524</xdr:colOff>
      <xdr:row>32</xdr:row>
      <xdr:rowOff>130175</xdr:rowOff>
    </xdr:to>
    <xdr:graphicFrame macro="">
      <xdr:nvGraphicFramePr>
        <xdr:cNvPr id="14" name="Chart 3">
          <a:extLst>
            <a:ext uri="{FF2B5EF4-FFF2-40B4-BE49-F238E27FC236}">
              <a16:creationId xmlns:a16="http://schemas.microsoft.com/office/drawing/2014/main" id="{0F409554-BE7A-4029-8667-2746907CE985}"/>
            </a:ext>
            <a:ext uri="{147F2762-F138-4A5C-976F-8EAC2B608ADB}">
              <a16:predDERef xmlns:a16="http://schemas.microsoft.com/office/drawing/2014/main" pred="{C2A215C7-52CD-4BF2-AFB8-DB0DE27926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61491</xdr:colOff>
      <xdr:row>0</xdr:row>
      <xdr:rowOff>124084</xdr:rowOff>
    </xdr:from>
    <xdr:to>
      <xdr:col>1</xdr:col>
      <xdr:colOff>930</xdr:colOff>
      <xdr:row>5</xdr:row>
      <xdr:rowOff>7099</xdr:rowOff>
    </xdr:to>
    <xdr:pic>
      <xdr:nvPicPr>
        <xdr:cNvPr id="5" name="Picture 3">
          <a:extLst>
            <a:ext uri="{FF2B5EF4-FFF2-40B4-BE49-F238E27FC236}">
              <a16:creationId xmlns:a16="http://schemas.microsoft.com/office/drawing/2014/main" id="{B59F77CD-4184-4360-848B-2CB3DD39ACC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4666" y="120909"/>
          <a:ext cx="1431689" cy="1375265"/>
        </a:xfrm>
        <a:prstGeom prst="rect">
          <a:avLst/>
        </a:prstGeom>
      </xdr:spPr>
    </xdr:pic>
    <xdr:clientData/>
  </xdr:twoCellAnchor>
  <xdr:twoCellAnchor>
    <xdr:from>
      <xdr:col>7</xdr:col>
      <xdr:colOff>571499</xdr:colOff>
      <xdr:row>0</xdr:row>
      <xdr:rowOff>380999</xdr:rowOff>
    </xdr:from>
    <xdr:to>
      <xdr:col>8</xdr:col>
      <xdr:colOff>194583</xdr:colOff>
      <xdr:row>1</xdr:row>
      <xdr:rowOff>247196</xdr:rowOff>
    </xdr:to>
    <xdr:sp macro="" textlink="">
      <xdr:nvSpPr>
        <xdr:cNvPr id="6" name="Rectangle: Rounded Corners 2">
          <a:hlinkClick xmlns:r="http://schemas.openxmlformats.org/officeDocument/2006/relationships" r:id="rId5"/>
          <a:extLst>
            <a:ext uri="{FF2B5EF4-FFF2-40B4-BE49-F238E27FC236}">
              <a16:creationId xmlns:a16="http://schemas.microsoft.com/office/drawing/2014/main" id="{6DC82246-D824-4F62-AE56-27828CC4D2FB}"/>
            </a:ext>
          </a:extLst>
        </xdr:cNvPr>
        <xdr:cNvSpPr/>
      </xdr:nvSpPr>
      <xdr:spPr>
        <a:xfrm>
          <a:off x="15801974" y="380999"/>
          <a:ext cx="664484" cy="294822"/>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118199</xdr:colOff>
      <xdr:row>17</xdr:row>
      <xdr:rowOff>206646</xdr:rowOff>
    </xdr:from>
    <xdr:to>
      <xdr:col>2</xdr:col>
      <xdr:colOff>804996</xdr:colOff>
      <xdr:row>17</xdr:row>
      <xdr:rowOff>492125</xdr:rowOff>
    </xdr:to>
    <xdr:sp macro="" textlink="">
      <xdr:nvSpPr>
        <xdr:cNvPr id="6" name="TextBox 2">
          <a:hlinkClick xmlns:r="http://schemas.openxmlformats.org/officeDocument/2006/relationships" r:id="rId1"/>
          <a:extLst>
            <a:ext uri="{FF2B5EF4-FFF2-40B4-BE49-F238E27FC236}">
              <a16:creationId xmlns:a16="http://schemas.microsoft.com/office/drawing/2014/main" id="{1F3FFF3B-FBC1-463D-0EA3-59EED240DB8B}"/>
            </a:ext>
          </a:extLst>
        </xdr:cNvPr>
        <xdr:cNvSpPr txBox="1"/>
      </xdr:nvSpPr>
      <xdr:spPr>
        <a:xfrm>
          <a:off x="800824" y="7858396"/>
          <a:ext cx="1623422" cy="285479"/>
        </a:xfrm>
        <a:prstGeom prst="rect">
          <a:avLst/>
        </a:prstGeom>
        <a:solidFill>
          <a:schemeClr val="accent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050"/>
            <a:t>ERM CVS Audited metrics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1650999</xdr:colOff>
      <xdr:row>1</xdr:row>
      <xdr:rowOff>141604</xdr:rowOff>
    </xdr:from>
    <xdr:to>
      <xdr:col>4</xdr:col>
      <xdr:colOff>2311400</xdr:colOff>
      <xdr:row>2</xdr:row>
      <xdr:rowOff>53975</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1207EBE5-920E-0251-561B-AABD75B6C442}"/>
            </a:ext>
          </a:extLst>
        </xdr:cNvPr>
        <xdr:cNvSpPr/>
      </xdr:nvSpPr>
      <xdr:spPr>
        <a:xfrm>
          <a:off x="7778749" y="316229"/>
          <a:ext cx="660401" cy="309246"/>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104775</xdr:colOff>
      <xdr:row>1</xdr:row>
      <xdr:rowOff>57150</xdr:rowOff>
    </xdr:from>
    <xdr:to>
      <xdr:col>16</xdr:col>
      <xdr:colOff>311604</xdr:colOff>
      <xdr:row>2</xdr:row>
      <xdr:rowOff>58058</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B88451C5-4A6E-4825-802B-7B467FBD37DB}"/>
            </a:ext>
          </a:extLst>
        </xdr:cNvPr>
        <xdr:cNvSpPr/>
      </xdr:nvSpPr>
      <xdr:spPr>
        <a:xfrm>
          <a:off x="9248775" y="238125"/>
          <a:ext cx="816429" cy="315233"/>
        </a:xfrm>
        <a:prstGeom prst="roundRect">
          <a:avLst/>
        </a:prstGeom>
        <a:solidFill>
          <a:srgbClr val="1E22A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latin typeface="Verdana" panose="020B0604030504040204" pitchFamily="34" charset="0"/>
              <a:ea typeface="Verdana" panose="020B0604030504040204" pitchFamily="34" charset="0"/>
            </a:rPr>
            <a:t>Home</a:t>
          </a:r>
        </a:p>
      </xdr:txBody>
    </xdr:sp>
    <xdr:clientData/>
  </xdr:twoCellAnchor>
  <xdr:twoCellAnchor editAs="oneCell">
    <xdr:from>
      <xdr:col>8</xdr:col>
      <xdr:colOff>352424</xdr:colOff>
      <xdr:row>6</xdr:row>
      <xdr:rowOff>121624</xdr:rowOff>
    </xdr:from>
    <xdr:to>
      <xdr:col>15</xdr:col>
      <xdr:colOff>173066</xdr:colOff>
      <xdr:row>15</xdr:row>
      <xdr:rowOff>278766</xdr:rowOff>
    </xdr:to>
    <xdr:pic>
      <xdr:nvPicPr>
        <xdr:cNvPr id="3" name="Picture 5">
          <a:extLst>
            <a:ext uri="{FF2B5EF4-FFF2-40B4-BE49-F238E27FC236}">
              <a16:creationId xmlns:a16="http://schemas.microsoft.com/office/drawing/2014/main" id="{E20C22E2-A44C-4DDC-93DF-5681E740BF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57824" y="1778974"/>
          <a:ext cx="4009737" cy="37550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127793</xdr:colOff>
      <xdr:row>1</xdr:row>
      <xdr:rowOff>103982</xdr:rowOff>
    </xdr:from>
    <xdr:to>
      <xdr:col>8</xdr:col>
      <xdr:colOff>904762</xdr:colOff>
      <xdr:row>1</xdr:row>
      <xdr:rowOff>421709</xdr:rowOff>
    </xdr:to>
    <xdr:sp macro="" textlink="">
      <xdr:nvSpPr>
        <xdr:cNvPr id="3" name="Rectangle: Rounded Corners 5">
          <a:hlinkClick xmlns:r="http://schemas.openxmlformats.org/officeDocument/2006/relationships" r:id="rId1"/>
          <a:extLst>
            <a:ext uri="{FF2B5EF4-FFF2-40B4-BE49-F238E27FC236}">
              <a16:creationId xmlns:a16="http://schemas.microsoft.com/office/drawing/2014/main" id="{5EFE1545-ED07-453C-9E8F-E14EA3790AD0}"/>
            </a:ext>
          </a:extLst>
        </xdr:cNvPr>
        <xdr:cNvSpPr/>
      </xdr:nvSpPr>
      <xdr:spPr>
        <a:xfrm>
          <a:off x="18689637" y="318295"/>
          <a:ext cx="776969" cy="317727"/>
        </a:xfrm>
        <a:prstGeom prst="roundRect">
          <a:avLst/>
        </a:prstGeom>
        <a:solidFill>
          <a:srgbClr val="1E22A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4362450</xdr:colOff>
      <xdr:row>1</xdr:row>
      <xdr:rowOff>19050</xdr:rowOff>
    </xdr:from>
    <xdr:to>
      <xdr:col>5</xdr:col>
      <xdr:colOff>1</xdr:colOff>
      <xdr:row>2</xdr:row>
      <xdr:rowOff>20638</xdr:rowOff>
    </xdr:to>
    <xdr:sp macro="" textlink="">
      <xdr:nvSpPr>
        <xdr:cNvPr id="4" name="Rectangle: Rounded Corners 5">
          <a:hlinkClick xmlns:r="http://schemas.openxmlformats.org/officeDocument/2006/relationships" r:id="rId1"/>
          <a:extLst>
            <a:ext uri="{FF2B5EF4-FFF2-40B4-BE49-F238E27FC236}">
              <a16:creationId xmlns:a16="http://schemas.microsoft.com/office/drawing/2014/main" id="{A54FF2BD-5C34-4D79-B506-1E8D5B66564D}"/>
            </a:ext>
          </a:extLst>
        </xdr:cNvPr>
        <xdr:cNvSpPr/>
      </xdr:nvSpPr>
      <xdr:spPr>
        <a:xfrm>
          <a:off x="16554450" y="190500"/>
          <a:ext cx="666751" cy="315913"/>
        </a:xfrm>
        <a:prstGeom prst="roundRect">
          <a:avLst/>
        </a:prstGeom>
        <a:solidFill>
          <a:srgbClr val="1E22A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1222217</xdr:colOff>
      <xdr:row>1</xdr:row>
      <xdr:rowOff>48737</xdr:rowOff>
    </xdr:from>
    <xdr:to>
      <xdr:col>4</xdr:col>
      <xdr:colOff>19528</xdr:colOff>
      <xdr:row>2</xdr:row>
      <xdr:rowOff>38895</xdr:rowOff>
    </xdr:to>
    <xdr:sp macro="" textlink="">
      <xdr:nvSpPr>
        <xdr:cNvPr id="3" name="Rectangle: Rounded Corners 5">
          <a:hlinkClick xmlns:r="http://schemas.openxmlformats.org/officeDocument/2006/relationships" r:id="rId1"/>
          <a:extLst>
            <a:ext uri="{FF2B5EF4-FFF2-40B4-BE49-F238E27FC236}">
              <a16:creationId xmlns:a16="http://schemas.microsoft.com/office/drawing/2014/main" id="{C544749C-2D2A-4273-A870-D63017560729}"/>
            </a:ext>
          </a:extLst>
        </xdr:cNvPr>
        <xdr:cNvSpPr/>
      </xdr:nvSpPr>
      <xdr:spPr>
        <a:xfrm>
          <a:off x="11252042" y="210662"/>
          <a:ext cx="654686" cy="304483"/>
        </a:xfrm>
        <a:prstGeom prst="roundRect">
          <a:avLst/>
        </a:prstGeom>
        <a:solidFill>
          <a:srgbClr val="1E22A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2945765</xdr:colOff>
      <xdr:row>1</xdr:row>
      <xdr:rowOff>72390</xdr:rowOff>
    </xdr:from>
    <xdr:to>
      <xdr:col>7</xdr:col>
      <xdr:colOff>3606801</xdr:colOff>
      <xdr:row>2</xdr:row>
      <xdr:rowOff>53976</xdr:rowOff>
    </xdr:to>
    <xdr:sp macro="" textlink="">
      <xdr:nvSpPr>
        <xdr:cNvPr id="9" name="Rectangle: Rounded Corners 8">
          <a:hlinkClick xmlns:r="http://schemas.openxmlformats.org/officeDocument/2006/relationships" r:id="rId1"/>
          <a:extLst>
            <a:ext uri="{FF2B5EF4-FFF2-40B4-BE49-F238E27FC236}">
              <a16:creationId xmlns:a16="http://schemas.microsoft.com/office/drawing/2014/main" id="{9694B841-B5A3-410A-B01B-F754DA130206}"/>
            </a:ext>
          </a:extLst>
        </xdr:cNvPr>
        <xdr:cNvSpPr/>
      </xdr:nvSpPr>
      <xdr:spPr>
        <a:xfrm>
          <a:off x="14109065" y="234315"/>
          <a:ext cx="661036" cy="295911"/>
        </a:xfrm>
        <a:prstGeom prst="roundRect">
          <a:avLst/>
        </a:prstGeom>
        <a:solidFill>
          <a:schemeClr val="tx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2912745</xdr:colOff>
      <xdr:row>1</xdr:row>
      <xdr:rowOff>6350</xdr:rowOff>
    </xdr:from>
    <xdr:to>
      <xdr:col>3</xdr:col>
      <xdr:colOff>3571876</xdr:colOff>
      <xdr:row>1</xdr:row>
      <xdr:rowOff>275591</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6A573B1C-C3BE-4CF3-B0A4-4E65A60C7D54}"/>
            </a:ext>
          </a:extLst>
        </xdr:cNvPr>
        <xdr:cNvSpPr/>
      </xdr:nvSpPr>
      <xdr:spPr>
        <a:xfrm>
          <a:off x="13421995" y="165100"/>
          <a:ext cx="659131" cy="269241"/>
        </a:xfrm>
        <a:prstGeom prst="roundRect">
          <a:avLst/>
        </a:prstGeom>
        <a:solidFill>
          <a:srgbClr val="1E22AA"/>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latin typeface="Verdana" panose="020B0604030504040204" pitchFamily="34" charset="0"/>
              <a:ea typeface="Verdana" panose="020B0604030504040204" pitchFamily="34" charset="0"/>
            </a:rPr>
            <a:t>Home</a:t>
          </a:r>
        </a:p>
      </xdr:txBody>
    </xdr:sp>
    <xdr:clientData/>
  </xdr:twoCellAnchor>
</xdr:wsDr>
</file>

<file path=xl/persons/person.xml><?xml version="1.0" encoding="utf-8"?>
<personList xmlns="http://schemas.microsoft.com/office/spreadsheetml/2018/threadedcomments" xmlns:x="http://schemas.openxmlformats.org/spreadsheetml/2006/main">
  <person displayName="Xin Ngfat" id="{F4220FD2-7558-4741-BBAB-9074C7EFAC39}" userId="xin.ngfat@matthey.com" providerId="PeoplePicker"/>
  <person displayName="Andrew Bain" id="{E567717B-D8F2-4F8B-A6D4-3569080621B0}" userId="Andrew.Bain@matthey.com" providerId="PeoplePicker"/>
  <person displayName="Julie Bolam" id="{56837F4D-98AE-47A8-BBB8-DF4A5807D6FC}" userId="Julie.Bolam@matthey.com" providerId="PeoplePicker"/>
  <person displayName="Tony Malone" id="{A91117D3-B92D-49E3-BF2C-B525DE5A9950}" userId="Tony.Malone@matthey.com" providerId="PeoplePicker"/>
  <person displayName="Holly Scott" id="{120D46B2-DC5C-45FC-801C-D947D6172F47}" userId="holly.scott@matthey.com" providerId="PeoplePicker"/>
  <person displayName="Trevor Rouse" id="{DB587674-DFC6-40D1-B86F-A160DC484CC7}" userId="Trevor.Rouse@matthey.com" providerId="PeoplePicker"/>
  <person displayName="Victoria Barlow" id="{958ACA67-8A81-4DE0-9E77-085D6A961BE1}" userId="Victoria.BArlow@matthey.com" providerId="PeoplePicker"/>
  <person displayName="Xin Ngfat" id="{FFB89494-4C8C-4DF8-AB66-EF7261C141A5}" userId="S::xin.ngfat@matthey.com::42310b3c-a146-49d6-9822-712383918215" providerId="AD"/>
  <person displayName="Tony Malone" id="{E1623999-F9A8-4EC8-8D3B-00734938D900}" userId="S::Tony.Malone@matthey.com::9dc78bb7-226d-4a69-b201-0da6dc0f20f6" providerId="AD"/>
  <person displayName="Julie Bolam" id="{492F2C60-448D-4089-9B04-C8158CA34543}" userId="S::julie.bolam@matthey.com::9f012013-4cb9-420f-91f3-903ce311daba" providerId="AD"/>
  <person displayName="Tony Malone" id="{44DF744A-8902-4FBE-BABD-0F0ABEADB985}" userId="S::tony.malone@matthey.com::9dc78bb7-226d-4a69-b201-0da6dc0f20f6" providerId="AD"/>
  <person displayName="Trevor Rouse" id="{C017F7F4-BE32-4D0D-8779-D892A34AC297}" userId="S::trevor.rouse@matthey.com::51e38b27-88af-48ab-ba6d-c0686a6c1e52" providerId="AD"/>
  <person displayName="Victoria Barlow" id="{E8CA4EDD-2D17-4DEE-9F0D-2A16927BA2D7}" userId="S::victoria.barlow@matthey.com::7b7b1888-62ed-49b3-9f77-28fada238780" providerId="AD"/>
</personList>
</file>

<file path=xl/theme/theme1.xml><?xml version="1.0" encoding="utf-8"?>
<a:theme xmlns:a="http://schemas.openxmlformats.org/drawingml/2006/main" name="Office Theme">
  <a:themeElements>
    <a:clrScheme name="JM - External">
      <a:dk1>
        <a:srgbClr val="000000"/>
      </a:dk1>
      <a:lt1>
        <a:srgbClr val="FFFFFF"/>
      </a:lt1>
      <a:dk2>
        <a:srgbClr val="1E22AA"/>
      </a:dk2>
      <a:lt2>
        <a:srgbClr val="575756"/>
      </a:lt2>
      <a:accent1>
        <a:srgbClr val="1E22AA"/>
      </a:accent1>
      <a:accent2>
        <a:srgbClr val="E50076"/>
      </a:accent2>
      <a:accent3>
        <a:srgbClr val="9DD3CB"/>
      </a:accent3>
      <a:accent4>
        <a:srgbClr val="00ACE9"/>
      </a:accent4>
      <a:accent5>
        <a:srgbClr val="6E368C"/>
      </a:accent5>
      <a:accent6>
        <a:srgbClr val="E3E3E3"/>
      </a:accent6>
      <a:hlink>
        <a:srgbClr val="575756"/>
      </a:hlink>
      <a:folHlink>
        <a:srgbClr val="575756"/>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O3" dT="2023-05-17T09:05:11.12" personId="{FFB89494-4C8C-4DF8-AB66-EF7261C141A5}" id="{423F34A1-4C81-4186-9F94-C09C51DD05F1}">
    <text>@Andrew Bain just a nudge when you have a few minutes</text>
    <mentions>
      <mention mentionpersonId="{E567717B-D8F2-4F8B-A6D4-3569080621B0}" mentionId="{62275259-C885-4C19-A541-E9BB2532CC48}" startIndex="0" length="12"/>
    </mentions>
  </threadedComment>
</ThreadedComments>
</file>

<file path=xl/threadedComments/threadedComment2.xml><?xml version="1.0" encoding="utf-8"?>
<ThreadedComments xmlns="http://schemas.microsoft.com/office/spreadsheetml/2018/threadedcomments" xmlns:x="http://schemas.openxmlformats.org/spreadsheetml/2006/main">
  <threadedComment ref="H10" dT="2023-04-12T12:27:26.58" personId="{E1623999-F9A8-4EC8-8D3B-00734938D900}" id="{045CEAD6-44D5-4DE1-AE3A-0499C42C9616}">
    <text>Scope 1 value restated due to improbved accuracy in N2O reporting.</text>
  </threadedComment>
  <threadedComment ref="I10" dT="2023-04-12T12:27:36.79" personId="{E1623999-F9A8-4EC8-8D3B-00734938D900}" id="{D8177E34-4D20-4233-952E-063C50A69C81}">
    <text>Scope 1 value restated due to improbved accuracy in N2O reporting.</text>
  </threadedComment>
  <threadedComment ref="J10" dT="2023-04-12T12:27:45.86" personId="{E1623999-F9A8-4EC8-8D3B-00734938D900}" id="{EB1C496A-7E95-46CD-B1C4-2C14A77160C9}">
    <text>Scope 1 value restated due to improbved accuracy in N2O reporting.</text>
  </threadedComment>
  <threadedComment ref="K10" dT="2023-04-12T12:27:58.30" personId="{E1623999-F9A8-4EC8-8D3B-00734938D900}" id="{31588365-2E37-48C3-A341-F195A3CC917D}">
    <text>Scope 1 value restated due to improbved accuracy in N2O reporting.</text>
  </threadedComment>
  <threadedComment ref="L10" dT="2023-04-12T12:28:06.58" personId="{E1623999-F9A8-4EC8-8D3B-00734938D900}" id="{6DE5A362-2CB6-4CAE-918A-B45D7D1B215B}">
    <text>Scope 1 value restated due to improbved accuracy in N2O reporting.</text>
  </threadedComment>
  <threadedComment ref="M10" dT="2023-04-12T12:28:16.35" personId="{E1623999-F9A8-4EC8-8D3B-00734938D900}" id="{66A0C1D0-063F-46BA-B2B7-35584E49DB76}">
    <text>Scope 1 value restated due to improbved accuracy in N2O reporting.</text>
  </threadedComment>
  <threadedComment ref="N10" dT="2023-04-12T12:28:27.27" personId="{E1623999-F9A8-4EC8-8D3B-00734938D900}" id="{7395D06B-4809-436C-8613-C7B8EA4843EA}">
    <text>Scope 1 value restated due to improbved accuracy in N2O reporting.</text>
  </threadedComment>
  <threadedComment ref="H13" dT="2023-04-12T12:28:48.72" personId="{E1623999-F9A8-4EC8-8D3B-00734938D900}" id="{E2DACDBD-2CE9-404F-9CD1-EA1926F7E895}">
    <text>Scope 1 value restated due to improbved accuracy in N2O reporting.</text>
  </threadedComment>
  <threadedComment ref="I13" dT="2023-04-12T12:28:56.19" personId="{E1623999-F9A8-4EC8-8D3B-00734938D900}" id="{5BBA88AF-99A1-4EE5-A219-EE93D2238B34}">
    <text>Scope 1 value restated due to improbved accuracy in N2O reporting.</text>
  </threadedComment>
  <threadedComment ref="J13" dT="2023-04-12T12:29:04.39" personId="{E1623999-F9A8-4EC8-8D3B-00734938D900}" id="{2C43F909-8CE6-44CD-A9BD-F2A9F2136806}">
    <text>Scope 1 value restated due to improbved accuracy in N2O reporting.</text>
  </threadedComment>
  <threadedComment ref="K13" dT="2023-04-12T12:29:12.64" personId="{E1623999-F9A8-4EC8-8D3B-00734938D900}" id="{DCA6DCC2-4F95-4441-8A02-030ECD0194BB}">
    <text>Scope 1 value restated due to improbved accuracy in N2O reporting.</text>
  </threadedComment>
  <threadedComment ref="L13" dT="2023-04-12T12:29:21.44" personId="{E1623999-F9A8-4EC8-8D3B-00734938D900}" id="{E5EF1409-32A3-47D2-95CD-E380E26A28E5}">
    <text>Scope 1 value restated due to improbved accuracy in N2O reporting.</text>
  </threadedComment>
  <threadedComment ref="M13" dT="2023-04-12T12:29:32.19" personId="{E1623999-F9A8-4EC8-8D3B-00734938D900}" id="{B6AECDD5-0693-4415-B7BC-DF4F010AB5EF}">
    <text>Scope 1 value restated due to improbved accuracy in N2O reporting.</text>
  </threadedComment>
  <threadedComment ref="N13" dT="2023-04-12T12:29:41.81" personId="{E1623999-F9A8-4EC8-8D3B-00734938D900}" id="{FD31075B-9724-4D99-9246-CAB9D9771295}">
    <text>Scope 1 value restated due to improbved accuracy in N2O reporting.</text>
  </threadedComment>
  <threadedComment ref="H14" dT="2023-04-12T12:29:51.00" personId="{E1623999-F9A8-4EC8-8D3B-00734938D900}" id="{2D5D4FAA-F4DC-4012-BB10-693DB2B05DC8}">
    <text>Scope 1 value restated due to improbved accuracy in N2O reporting.</text>
  </threadedComment>
  <threadedComment ref="I14" dT="2023-04-12T12:29:59.63" personId="{E1623999-F9A8-4EC8-8D3B-00734938D900}" id="{05FA9193-32F8-40FA-BE15-690D7028CBCC}">
    <text>Scope 1 value restated due to improbved accuracy in N2O reporting.</text>
  </threadedComment>
  <threadedComment ref="J14" dT="2023-04-12T12:30:08.49" personId="{E1623999-F9A8-4EC8-8D3B-00734938D900}" id="{F313A705-16E2-42CA-911B-106A4110655C}">
    <text>Scope 1 value restated due to improbved accuracy in N2O reporting.</text>
  </threadedComment>
  <threadedComment ref="K14" dT="2023-04-12T12:30:15.63" personId="{E1623999-F9A8-4EC8-8D3B-00734938D900}" id="{0218E8B7-C208-4FBE-8BF2-6D8FB15A903F}">
    <text>Scope 1 value restated due to improbved accuracy in N2O reporting.</text>
  </threadedComment>
  <threadedComment ref="L14" dT="2023-04-12T12:30:24.77" personId="{E1623999-F9A8-4EC8-8D3B-00734938D900}" id="{1E44BA25-80ED-4FB3-9E92-571D4DF6C243}">
    <text>Scope 1 value restated due to improbved accuracy in N2O reporting.</text>
  </threadedComment>
  <threadedComment ref="M14" dT="2023-04-12T12:30:32.46" personId="{E1623999-F9A8-4EC8-8D3B-00734938D900}" id="{4B56B321-22A0-41E6-BEBD-72F8A1AB0AB7}">
    <text>Scope 1 value restated due to improbved accuracy in N2O reporting.</text>
  </threadedComment>
  <threadedComment ref="N14" dT="2023-04-12T12:30:40.17" personId="{E1623999-F9A8-4EC8-8D3B-00734938D900}" id="{C8765530-3B60-4CEF-A961-F5F29077E42B}">
    <text>Scope 1 value restated due to improbved accuracy in N2O reporting.</text>
  </threadedComment>
  <threadedComment ref="G100" dT="2022-04-14T12:32:10.40" personId="{E1623999-F9A8-4EC8-8D3B-00734938D900}" id="{56C32388-E193-46ED-9ACA-92FB0958F5BB}">
    <text>Original data was 298,955 kg</text>
  </threadedComment>
  <threadedComment ref="H100" dT="2022-04-14T12:34:15.87" personId="{E1623999-F9A8-4EC8-8D3B-00734938D900}" id="{E99AD1A7-DF42-4DF8-BA52-F02DF784972E}">
    <text>Original value was 301,869</text>
  </threadedComment>
  <threadedComment ref="K120" dT="2022-04-14T09:02:14.77" personId="{E1623999-F9A8-4EC8-8D3B-00734938D900}" id="{1E0FCF4C-9EEA-4D19-B7A5-51AF4D59D8FE}">
    <text>Original value before rstatement was 4107694</text>
  </threadedComment>
  <threadedComment ref="K122" dT="2022-04-14T09:06:39.21" personId="{E1623999-F9A8-4EC8-8D3B-00734938D900}" id="{ABC36D99-FAA2-463C-B701-6B82A6B210FA}">
    <text>Original value before restatement was 1224735</text>
  </threadedComment>
  <threadedComment ref="K125" dT="2022-04-14T09:12:14.27" personId="{E1623999-F9A8-4EC8-8D3B-00734938D900}" id="{07B07872-8C1B-4596-8DAE-D7873EADC94A}">
    <text>Original value before restatement was 615809</text>
  </threadedComment>
  <threadedComment ref="K130" dT="2022-04-14T08:24:52.39" personId="{E1623999-F9A8-4EC8-8D3B-00734938D900}" id="{29719286-53A7-48C2-8938-DF1D49675701}">
    <text>Original value last year of 141026138 changed after energy restatements for renewable energy</text>
  </threadedComment>
  <threadedComment ref="K132" dT="2022-04-14T08:23:52.68" personId="{E1623999-F9A8-4EC8-8D3B-00734938D900}" id="{1A878988-3E19-4FE6-A6B1-9181675A35CC}">
    <text>Original value from last year reported was 340204183 Following restatement has altered</text>
  </threadedComment>
  <threadedComment ref="K135" dT="2022-04-14T08:44:59.84" personId="{E1623999-F9A8-4EC8-8D3B-00734938D900}" id="{3E34FCC1-B6DB-4896-A1B4-C063FABAF873}">
    <text>Original value before correction was 171,057,996</text>
  </threadedComment>
  <threadedComment ref="K137" dT="2022-04-14T09:01:42.53" personId="{E1623999-F9A8-4EC8-8D3B-00734938D900}" id="{E2276F93-69E3-4439-8844-5EA8EE80479C}">
    <text>Original value was 30.9% before restatement of renewable electricity</text>
  </threadedComment>
</ThreadedComments>
</file>

<file path=xl/threadedComments/threadedComment3.xml><?xml version="1.0" encoding="utf-8"?>
<ThreadedComments xmlns="http://schemas.microsoft.com/office/spreadsheetml/2018/threadedcomments" xmlns:x="http://schemas.openxmlformats.org/spreadsheetml/2006/main">
  <threadedComment ref="F58" dT="2023-05-19T13:04:32.47" personId="{FFB89494-4C8C-4DF8-AB66-EF7261C141A5}" id="{D3D927BC-1CDB-4513-B406-DEBDB920A912}">
    <text>@Tony Malone I dunno if you have to replicate this on the "actual" tab now?</text>
    <mentions>
      <mention mentionpersonId="{A91117D3-B92D-49E3-BF2C-B525DE5A9950}" mentionId="{73E61544-9BFC-42F0-9982-F0C1A2405ABC}" startIndex="0" length="12"/>
    </mentions>
  </threadedComment>
  <threadedComment ref="N134" dT="2023-05-19T17:08:59.20" personId="{FFB89494-4C8C-4DF8-AB66-EF7261C141A5}" id="{4E702EDD-0DD4-4CC2-8471-CFD1D7BD8A98}">
    <text>@Tony Malone I've just subtracted and got this number, is it ok? It was zero in 2019/20?</text>
    <mentions>
      <mention mentionpersonId="{A91117D3-B92D-49E3-BF2C-B525DE5A9950}" mentionId="{DFD1E6D3-2606-42B2-BEEE-BE1E159B2FA4}" startIndex="0" length="12"/>
    </mentions>
  </threadedComment>
  <threadedComment ref="N134" dT="2023-05-22T15:19:10.53" personId="{44DF744A-8902-4FBE-BABD-0F0ABEADB985}" id="{D4C5FDC9-18DD-42DA-BC1F-751932AB76BE}" parentId="{4E702EDD-0DD4-4CC2-8471-CFD1D7BD8A98}">
    <text>@Xin Ngfat We were not recording this data at this point so we do not have a number for this indicator</text>
    <mentions>
      <mention mentionpersonId="{F4220FD2-7558-4741-BBAB-9074C7EFAC39}" mentionId="{D35D1A60-0CF8-4C03-B39E-A6510C1D2EBA}" startIndex="0" length="10"/>
    </mentions>
  </threadedComment>
</ThreadedComments>
</file>

<file path=xl/threadedComments/threadedComment4.xml><?xml version="1.0" encoding="utf-8"?>
<ThreadedComments xmlns="http://schemas.microsoft.com/office/spreadsheetml/2018/threadedcomments" xmlns:x="http://schemas.openxmlformats.org/spreadsheetml/2006/main">
  <threadedComment ref="B32" dT="2023-04-03T16:01:22.18" personId="{FFB89494-4C8C-4DF8-AB66-EF7261C141A5}" id="{88CFE28E-21D1-4056-9225-B05788A1C467}">
    <text>@Victoria Barlow - for your team to provide numbers once finalised. Thank you.</text>
    <mentions>
      <mention mentionpersonId="{958ACA67-8A81-4DE0-9E77-085D6A961BE1}" mentionId="{8DE731B3-12A2-4412-B751-4724357E6A54}" startIndex="0" length="16"/>
    </mentions>
  </threadedComment>
  <threadedComment ref="D33" dT="2023-04-26T12:57:17.92" personId="{FFB89494-4C8C-4DF8-AB66-EF7261C141A5}" id="{C02B732B-636A-4CEB-815E-3948C14291C4}">
    <text>@Trevor Rouse are these numbers as at 31st March 2023 or avg numbers over the financial year?</text>
    <mentions>
      <mention mentionpersonId="{DB587674-DFC6-40D1-B86F-A160DC484CC7}" mentionId="{8A792534-EE6E-4AA2-9238-5CC7F749CAA1}" startIndex="0" length="13"/>
    </mentions>
  </threadedComment>
  <threadedComment ref="D33" dT="2023-04-26T19:04:46.26" personId="{C017F7F4-BE32-4D0D-8779-D892A34AC297}" id="{B95CE716-357E-4556-8FF1-D28FE699C3FC}" parentId="{C02B732B-636A-4CEB-815E-3948C14291C4}">
    <text>As at 31st March 2023</text>
  </threadedComment>
  <threadedComment ref="C34" dT="2023-04-25T16:05:42.34" personId="{FFB89494-4C8C-4DF8-AB66-EF7261C141A5}" id="{02AD94CE-5BA5-4EDE-8525-A8931064BB55}">
    <text>@Trevor Rouse do you have a definition we can use here? preferably not with GG12+ as that won't mean anything externally</text>
    <mentions>
      <mention mentionpersonId="{DB587674-DFC6-40D1-B86F-A160DC484CC7}" mentionId="{BE4B5041-6781-4C7B-AACA-A1DE96D9C922}" startIndex="0" length="13"/>
    </mentions>
  </threadedComment>
  <threadedComment ref="C34" dT="2023-04-26T19:14:19.66" personId="{C017F7F4-BE32-4D0D-8779-D892A34AC297}" id="{FAD71C8B-32E8-40FF-9C17-A98740DC73F6}" parentId="{02AD94CE-5BA5-4EDE-8525-A8931064BB55}">
    <text>All employees whether they are a People manager or not at a minimum pay grade</text>
  </threadedComment>
  <threadedComment ref="M34" dT="2023-05-12T09:30:12.51" personId="{FFB89494-4C8C-4DF8-AB66-EF7261C141A5}" id="{BEFF355C-3301-4268-899F-0446A980FBF7}">
    <text>@Trevor Rouse please could you just confirm this number for me, make sure you are happy with the split and that this is 28% for 2022/23</text>
    <mentions>
      <mention mentionpersonId="{DB587674-DFC6-40D1-B86F-A160DC484CC7}" mentionId="{DAF17AEE-77B1-4DA5-ABAB-1DD7C90DB0EF}" startIndex="0" length="13"/>
    </mentions>
  </threadedComment>
  <threadedComment ref="M34" dT="2023-05-12T10:01:01.59" personId="{C017F7F4-BE32-4D0D-8779-D892A34AC297}" id="{D318FECB-6124-4784-8710-8FFCEBB0A164}" parentId="{BEFF355C-3301-4268-899F-0446A980FBF7}">
    <text>Yes - happy with the split and the 28%</text>
  </threadedComment>
  <threadedComment ref="B37" dT="2023-04-21T22:16:31.86" personId="{E8CA4EDD-2D17-4DEE-9F0D-2A16927BA2D7}" id="{6E85BAEE-3492-4EDB-A49D-4F4B86EF50CB}">
    <text>VB reviewed and confirmed 21/04/23</text>
  </threadedComment>
  <threadedComment ref="B37" dT="2023-04-27T11:11:39.24" personId="{FFB89494-4C8C-4DF8-AB66-EF7261C141A5}" id="{B4B7D574-9CD5-4C51-BAC2-011B86838721}" parentId="{6E85BAEE-3492-4EDB-A49D-4F4B86EF50CB}">
    <text>@Victoria Barlow thank you, do we have any historical data?</text>
    <mentions>
      <mention mentionpersonId="{958ACA67-8A81-4DE0-9E77-085D6A961BE1}" mentionId="{64E00A25-8E6A-4BA1-8350-AFB036124120}" startIndex="0" length="16"/>
    </mentions>
  </threadedComment>
  <threadedComment ref="B37" dT="2023-05-10T08:21:47.03" personId="{FFB89494-4C8C-4DF8-AB66-EF7261C141A5}" id="{FA9CB1B0-C70D-40CB-8CB3-CD824C556B83}" parentId="{6E85BAEE-3492-4EDB-A49D-4F4B86EF50CB}">
    <text>@Victoria Barlow is there any prior years data available?</text>
    <mentions>
      <mention mentionpersonId="{958ACA67-8A81-4DE0-9E77-085D6A961BE1}" mentionId="{E385FFE5-D557-4F13-A430-DA94CF6F3F2C}" startIndex="0" length="16"/>
    </mentions>
  </threadedComment>
  <threadedComment ref="B37" dT="2023-05-11T19:58:53.11" personId="{FFB89494-4C8C-4DF8-AB66-EF7261C141A5}" id="{BBD7D8A5-45F0-42A0-A0EC-916ADA495480}" parentId="{6E85BAEE-3492-4EDB-A49D-4F4B86EF50CB}">
    <text>@Holly Scott are you able to provide prior year ages?</text>
    <mentions>
      <mention mentionpersonId="{120D46B2-DC5C-45FC-801C-D947D6172F47}" mentionId="{A312E632-2606-48DE-A031-ECD08FF38EEE}" startIndex="0" length="12"/>
    </mentions>
  </threadedComment>
  <threadedComment ref="B37" dT="2023-05-12T23:06:31.18" personId="{E8CA4EDD-2D17-4DEE-9F0D-2A16927BA2D7}" id="{68C95814-9226-4D16-91C1-1AAB5EA0ABE0}" parentId="{6E85BAEE-3492-4EDB-A49D-4F4B86EF50CB}">
    <text>@Xin Ngfat added in</text>
    <mentions>
      <mention mentionpersonId="{F4220FD2-7558-4741-BBAB-9074C7EFAC39}" mentionId="{1E624491-19CC-4E96-9FF8-3F62509CACBA}" startIndex="0" length="10"/>
    </mentions>
  </threadedComment>
  <threadedComment ref="B37" dT="2023-05-18T17:35:25.95" personId="{FFB89494-4C8C-4DF8-AB66-EF7261C141A5}" id="{B28D149F-B327-44D0-8CFC-4C4E7B40A099}" parentId="{6E85BAEE-3492-4EDB-A49D-4F4B86EF50CB}">
    <text>@Victoria Barlow @Holly Scott definitely some numbers in there</text>
    <mentions>
      <mention mentionpersonId="{958ACA67-8A81-4DE0-9E77-085D6A961BE1}" mentionId="{025749E4-1F2F-4582-821C-94EA6C57061E}" startIndex="0" length="16"/>
      <mention mentionpersonId="{120D46B2-DC5C-45FC-801C-D947D6172F47}" mentionId="{D6445537-9B92-4504-931B-AD74E2FBE1B8}" startIndex="17" length="12"/>
    </mentions>
  </threadedComment>
  <threadedComment ref="C47" dT="2023-04-19T17:57:29.28" personId="{FFB89494-4C8C-4DF8-AB66-EF7261C141A5}" id="{001970F9-6B2E-4346-99A5-39219D8D021B}">
    <text>@Trevor Rouse why is this? Age details voluntary?</text>
    <mentions>
      <mention mentionpersonId="{DB587674-DFC6-40D1-B86F-A160DC484CC7}" mentionId="{B5EFF236-7D0C-49D2-A193-1B97666F3982}" startIndex="0" length="13"/>
    </mentions>
  </threadedComment>
  <threadedComment ref="C47" dT="2023-04-19T23:22:50.01" personId="{C017F7F4-BE32-4D0D-8779-D892A34AC297}" id="{B1D22F47-A607-49A1-B930-A1FBB28E6252}" parentId="{001970F9-6B2E-4346-99A5-39219D8D021B}">
    <text>Yes - age details voluntary</text>
  </threadedComment>
  <threadedComment ref="C51" dT="2023-04-26T10:38:57.18" personId="{FFB89494-4C8C-4DF8-AB66-EF7261C141A5}" id="{03841D26-5513-474E-A67B-CF977A8D9E33}">
    <text>@Trevor Rouse</text>
    <mentions>
      <mention mentionpersonId="{DB587674-DFC6-40D1-B86F-A160DC484CC7}" mentionId="{BD9E69CA-0901-4F8F-AB0D-7A41FC63275E}" startIndex="0" length="13"/>
    </mentions>
  </threadedComment>
  <threadedComment ref="C51" dT="2023-04-26T19:03:11.05" personId="{C017F7F4-BE32-4D0D-8779-D892A34AC297}" id="{E6D833B0-1799-44A1-9816-F35B50CFD5E2}" parentId="{03841D26-5513-474E-A67B-CF977A8D9E33}">
    <text>Employee turnover rate initiated by employer</text>
  </threadedComment>
  <threadedComment ref="C53" dT="2023-05-11T13:21:21.85" personId="{FFB89494-4C8C-4DF8-AB66-EF7261C141A5}" id="{E9077630-1FCD-49E0-8638-50CEE60F698E}">
    <text>@Trevor Rouse can we put in the calculation detail please of first day, last day etc</text>
    <mentions>
      <mention mentionpersonId="{DB587674-DFC6-40D1-B86F-A160DC484CC7}" mentionId="{3F9AA52A-7FBB-4882-AF2D-4FD84F5868B1}" startIndex="0" length="13"/>
    </mentions>
  </threadedComment>
  <threadedComment ref="C53" dT="2023-05-11T13:25:01.58" personId="{FFB89494-4C8C-4DF8-AB66-EF7261C141A5}" id="{6E1CF550-BBC2-49BF-9F0B-11E0128BE1B9}" parentId="{E9077630-1FCD-49E0-8638-50CEE60F698E}">
    <text>@Trevor Rouse and perm employee only</text>
    <mentions>
      <mention mentionpersonId="{DB587674-DFC6-40D1-B86F-A160DC484CC7}" mentionId="{396C589A-D717-45F3-98ED-2D723C25EBE3}" startIndex="0" length="13"/>
    </mentions>
  </threadedComment>
  <threadedComment ref="C53" dT="2023-05-11T14:08:02.29" personId="{C017F7F4-BE32-4D0D-8779-D892A34AC297}" id="{55EE225F-4C09-4EBB-A02C-9FECD4C40209}" parentId="{E9077630-1FCD-49E0-8638-50CEE60F698E}">
    <text>@Xin Ngfat - think you have this now - number of leavers over last 12 months divided by average headcount say as at data points 1 April 2022 and 31 March 2023</text>
    <mentions>
      <mention mentionpersonId="{F4220FD2-7558-4741-BBAB-9074C7EFAC39}" mentionId="{17438211-CD55-4B04-B85D-626B2E41E07E}" startIndex="0" length="10"/>
    </mentions>
  </threadedComment>
  <threadedComment ref="C54" dT="2023-04-26T10:38:57.18" personId="{FFB89494-4C8C-4DF8-AB66-EF7261C141A5}" id="{8D7664A8-D9AB-409E-BC7A-63330965D85C}">
    <text>@Trevor Rouse</text>
    <mentions>
      <mention mentionpersonId="{DB587674-DFC6-40D1-B86F-A160DC484CC7}" mentionId="{0A96DF18-0285-4C3A-B173-2747118ED4AF}" startIndex="0" length="13"/>
    </mentions>
  </threadedComment>
  <threadedComment ref="C54" dT="2023-04-26T19:03:11.05" personId="{C017F7F4-BE32-4D0D-8779-D892A34AC297}" id="{BA9456A9-14D6-4BE0-874F-DA6C731ABC2F}" parentId="{8D7664A8-D9AB-409E-BC7A-63330965D85C}">
    <text>Employee turnover rate initiated by employer</text>
  </threadedComment>
  <threadedComment ref="C94" dT="2023-05-11T12:32:18.27" personId="{FFB89494-4C8C-4DF8-AB66-EF7261C141A5}" id="{24774F3C-A95F-4E42-B59F-47A22CD07DB5}">
    <text>@Trevor Rouse could you provide this excl health please - I think it's 12510 this year, any idea for historical?</text>
    <mentions>
      <mention mentionpersonId="{DB587674-DFC6-40D1-B86F-A160DC484CC7}" mentionId="{F7A899CD-3D72-4A9E-98A8-5C4CE134CB44}" startIndex="0" length="13"/>
    </mentions>
  </threadedComment>
  <threadedComment ref="B115" dT="2023-05-16T15:59:05.34" personId="{FFB89494-4C8C-4DF8-AB66-EF7261C141A5}" id="{65C9ADAF-508A-4C6E-B538-0C965DAA136B}">
    <text>@Trevor Rouse is this something you can pull from Workday?</text>
    <mentions>
      <mention mentionpersonId="{DB587674-DFC6-40D1-B86F-A160DC484CC7}" mentionId="{95E82A99-462C-4A03-A131-40F5DE847644}" startIndex="0" length="13"/>
    </mentions>
  </threadedComment>
  <threadedComment ref="B124" dT="2023-05-16T15:59:05.34" personId="{FFB89494-4C8C-4DF8-AB66-EF7261C141A5}" id="{A2CA4E63-ED3C-426E-B8D2-FEF83A215810}">
    <text>@Trevor Rouse is this something you can pull from Workday?</text>
    <mentions>
      <mention mentionpersonId="{DB587674-DFC6-40D1-B86F-A160DC484CC7}" mentionId="{46891BC0-A160-484D-8220-659F81E33D34}" startIndex="0" length="13"/>
    </mentions>
  </threadedComment>
  <threadedComment ref="B132" dT="2023-05-16T15:59:05.34" personId="{FFB89494-4C8C-4DF8-AB66-EF7261C141A5}" id="{D0DCF2E0-067B-4DB8-8039-E4686F86BC52}">
    <text>@Trevor Rouse is this something you can pull from Workday?</text>
    <mentions>
      <mention mentionpersonId="{DB587674-DFC6-40D1-B86F-A160DC484CC7}" mentionId="{FA8501AD-3FDD-4468-8B7A-5924B7C8CC27}" startIndex="0" length="13"/>
    </mentions>
  </threadedComment>
  <threadedComment ref="B138" dT="2023-05-16T15:59:05.34" personId="{FFB89494-4C8C-4DF8-AB66-EF7261C141A5}" id="{FD15BE50-FFBA-48D5-AEB0-A413712E4AD2}">
    <text>@Trevor Rouse is this something you can pull from Workday?</text>
    <mentions>
      <mention mentionpersonId="{DB587674-DFC6-40D1-B86F-A160DC484CC7}" mentionId="{0C1F2AAA-FBCB-4364-92AD-3D35F19073A0}" startIndex="0" length="13"/>
    </mentions>
  </threadedComment>
  <threadedComment ref="C151" dT="2023-05-18T12:49:47.89" personId="{FFB89494-4C8C-4DF8-AB66-EF7261C141A5}" id="{728C9CDD-C922-4B62-BF8F-21E63D9803F2}">
    <text>@Julie Bolam to confirm once happy with the breakdown of numbers please.</text>
    <mentions>
      <mention mentionpersonId="{56837F4D-98AE-47A8-BBB8-DF4A5807D6FC}" mentionId="{C0FC51FF-49DB-4AC6-A51C-ABA43CC2FB5D}" startIndex="0" length="12"/>
    </mentions>
  </threadedComment>
  <threadedComment ref="C151" dT="2023-05-24T16:38:07.78" personId="{492F2C60-448D-4089-9B04-C8158CA34543}" id="{75EF2D87-9DE8-4ED1-8BC4-9CCCDCBF97BD}" parentId="{728C9CDD-C922-4B62-BF8F-21E63D9803F2}">
    <text xml:space="preserve">Only JM employees assigned Comp Law and ABAC. Code of Ethics to CW and JM . </text>
  </threadedComment>
  <threadedComment ref="C151" dT="2023-05-26T13:40:05.71" personId="{FFB89494-4C8C-4DF8-AB66-EF7261C141A5}" id="{BE704D9F-6DCD-4DC1-81E9-9037925AEC2A}" parentId="{728C9CDD-C922-4B62-BF8F-21E63D9803F2}">
    <text>@Julie Bolam 
So Comp law and ABC to permanent employees only
Code of Ethics to perm staff and temp staff with contracts over 3 months</text>
    <mentions>
      <mention mentionpersonId="{56837F4D-98AE-47A8-BBB8-DF4A5807D6FC}" mentionId="{A8A8465D-32EE-400F-844D-18633709ED36}" startIndex="0" length="12"/>
    </mentions>
  </threadedComment>
  <threadedComment ref="C182" dT="2023-05-18T12:49:47.89" personId="{FFB89494-4C8C-4DF8-AB66-EF7261C141A5}" id="{7E8A7E52-B244-4F21-B8F8-040ABF19BEC2}">
    <text>@Julie Bolam to confirm once happy with the breakdown of numbers please.</text>
    <mentions>
      <mention mentionpersonId="{56837F4D-98AE-47A8-BBB8-DF4A5807D6FC}" mentionId="{67F56105-CCE1-42F5-A21E-005B70CA8B95}" startIndex="0" length="12"/>
    </mentions>
  </threadedComment>
  <threadedComment ref="C182" dT="2023-05-24T16:38:07.78" personId="{492F2C60-448D-4089-9B04-C8158CA34543}" id="{0E818167-DF43-49E6-A93D-1E5FE727E1B4}" parentId="{7E8A7E52-B244-4F21-B8F8-040ABF19BEC2}">
    <text xml:space="preserve">Only JM employees assigned Comp Law and ABAC. Code of Ethics to CW and JM . </text>
  </threadedComment>
  <threadedComment ref="C182" dT="2023-05-26T13:40:05.71" personId="{FFB89494-4C8C-4DF8-AB66-EF7261C141A5}" id="{DE4D591F-6808-4F21-9E15-D1823A09AB6F}" parentId="{7E8A7E52-B244-4F21-B8F8-040ABF19BEC2}">
    <text>@Julie Bolam 
So Comp law and ABC to permanent employees only
Code of Ethics to perm staff and temp staff with contracts over 3 months</text>
    <mentions>
      <mention mentionpersonId="{56837F4D-98AE-47A8-BBB8-DF4A5807D6FC}" mentionId="{D33AB9D6-1F2E-410F-B955-2217618800E0}" startIndex="0" length="12"/>
    </mentions>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matthey.com/en/about-us/partnering-with-us/supplier-code-of-conduct?assetCategoryIds=&amp;sort=ddm__keyword__232257__Date-"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8.xml"/><Relationship Id="rId1" Type="http://schemas.openxmlformats.org/officeDocument/2006/relationships/printerSettings" Target="../printerSettings/printerSettings18.bin"/><Relationship Id="rId5" Type="http://schemas.microsoft.com/office/2017/10/relationships/threadedComment" Target="../threadedComments/threadedComment3.xml"/><Relationship Id="rId4"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microsoft.com/office/2017/10/relationships/threadedComment" Target="../threadedComments/threadedComment4.xml"/><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matthey.com/sustainability/policies-disclosures-and-position-statements/anti-bribery-and-corruption-policy" TargetMode="External"/><Relationship Id="rId3" Type="http://schemas.openxmlformats.org/officeDocument/2006/relationships/hyperlink" Target="https://matthey.com/documents/161599/481702/2022-06-07+Corporate+EHS+Policy+Statement+FINAL+%28Amended%29.pdf/5dd3eee5-76e0-8d4d-4854-42163d9a7447?t=1654961678367" TargetMode="External"/><Relationship Id="rId7" Type="http://schemas.openxmlformats.org/officeDocument/2006/relationships/hyperlink" Target="https://matthey.com/documents/161599/165034/Tax-Strategy-FY21.pdf/7d106cca-7a29-4856-8d18-6c65622c0e5b?t=1650968210554" TargetMode="External"/><Relationship Id="rId2" Type="http://schemas.openxmlformats.org/officeDocument/2006/relationships/hyperlink" Target="https://matthey.com/en/sustainability/sustainability-governance" TargetMode="External"/><Relationship Id="rId1" Type="http://schemas.openxmlformats.org/officeDocument/2006/relationships/hyperlink" Target="https://matthey.com/documents/161599/481702/Global+Conflicts+of+Interest+Policy.pdf/9160e563-c3a0-35ab-d032-9d844c3cb8f5?t=1670344654748" TargetMode="External"/><Relationship Id="rId6" Type="http://schemas.openxmlformats.org/officeDocument/2006/relationships/hyperlink" Target="https://matthey.com/documents/161599/481702/Global+Tax+Policy.pdf/3fdd4cb2-b62b-e3f3-d170-affb18418399?t=1670345691972" TargetMode="External"/><Relationship Id="rId5" Type="http://schemas.openxmlformats.org/officeDocument/2006/relationships/hyperlink" Target="https://www.cia.org.uk/sustainability/case-studies/details/Johnson-Matthey---Biodiversity" TargetMode="External"/><Relationship Id="rId10" Type="http://schemas.openxmlformats.org/officeDocument/2006/relationships/drawing" Target="../drawings/drawing5.xml"/><Relationship Id="rId4" Type="http://schemas.openxmlformats.org/officeDocument/2006/relationships/hyperlink" Target="https://matthey.com/documents/161599/2096356/Johnson+Matthey_Gender+Pay+Gap+Report_2022.pdf/b33fc735-debb-9065-674d-611c833677e7?t=1678115738170" TargetMode="External"/><Relationship Id="rId9"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matthey.com/en/sustainability/sustainability-governance" TargetMode="External"/><Relationship Id="rId2" Type="http://schemas.openxmlformats.org/officeDocument/2006/relationships/hyperlink" Target="https://matthey.com/documents/161599/2096356/Johnson+Matthey_Gender+Pay+Gap+Report_2022.pdf/b33fc735-debb-9065-674d-611c833677e7?t=1678115738170" TargetMode="External"/><Relationship Id="rId1" Type="http://schemas.openxmlformats.org/officeDocument/2006/relationships/hyperlink" Target="https://matthey.com/contact-us?assetCategoryIds=&amp;sort=ddm__keyword__232321__Country" TargetMode="External"/><Relationship Id="rId5" Type="http://schemas.openxmlformats.org/officeDocument/2006/relationships/drawing" Target="../drawings/drawing8.xm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C0473-BB87-4E20-8775-6C1BEECC4EB3}">
  <sheetPr codeName="Sheet2">
    <tabColor theme="3"/>
    <pageSetUpPr fitToPage="1"/>
  </sheetPr>
  <dimension ref="O3:S13"/>
  <sheetViews>
    <sheetView tabSelected="1" zoomScale="80" zoomScaleNormal="80" zoomScaleSheetLayoutView="70" workbookViewId="0">
      <selection activeCell="Q1" sqref="Q1"/>
    </sheetView>
  </sheetViews>
  <sheetFormatPr defaultColWidth="8.81640625" defaultRowHeight="14.5"/>
  <cols>
    <col min="1" max="1" width="3.1796875" style="1" customWidth="1"/>
    <col min="2" max="16384" width="8.81640625" style="1"/>
  </cols>
  <sheetData>
    <row r="3" spans="15:19"/>
    <row r="13" spans="15:19">
      <c r="S13" s="1051"/>
    </row>
  </sheetData>
  <sheetProtection algorithmName="SHA-512" hashValue="OzqD5v6fBXV6lKeNaBEGX1Xt/czTLV9sRF8buX1bxjYfYl1YnGY7FeJtoKSocnwO0DYtAXt1Ql6DZjGJZq3Eqw==" saltValue="6LvLOY4tPOXZ//Hbc6cR3A==" spinCount="100000" sheet="1" objects="1" scenarios="1"/>
  <pageMargins left="0.70866141732283472" right="0.70866141732283472" top="0.74803149606299213" bottom="0.74803149606299213" header="0.31496062992125984" footer="0.31496062992125984"/>
  <pageSetup paperSize="9" scale="96" orientation="landscape"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4D05C-C679-4A3F-89E1-EEFD83B59210}">
  <sheetPr>
    <tabColor theme="3"/>
    <pageSetUpPr fitToPage="1"/>
  </sheetPr>
  <dimension ref="B2:Q37"/>
  <sheetViews>
    <sheetView zoomScale="80" zoomScaleNormal="80" workbookViewId="0"/>
  </sheetViews>
  <sheetFormatPr defaultColWidth="8.81640625" defaultRowHeight="13.5"/>
  <cols>
    <col min="1" max="1" width="3.1796875" style="3" customWidth="1"/>
    <col min="2" max="2" width="35.81640625" style="3" customWidth="1"/>
    <col min="3" max="3" width="19.54296875" style="3" customWidth="1"/>
    <col min="4" max="4" width="56.90625" style="3" customWidth="1"/>
    <col min="5" max="5" width="14.81640625" style="3" customWidth="1"/>
    <col min="6" max="6" width="15.90625" style="3" bestFit="1" customWidth="1"/>
    <col min="7" max="7" width="16.81640625" style="3" customWidth="1"/>
    <col min="8" max="8" width="14.08984375" style="3" customWidth="1"/>
    <col min="9" max="9" width="12.90625" style="3" customWidth="1"/>
    <col min="10" max="10" width="27.90625" style="3" customWidth="1"/>
    <col min="11" max="13" width="14.1796875" style="3" customWidth="1"/>
    <col min="14" max="16384" width="8.81640625" style="3"/>
  </cols>
  <sheetData>
    <row r="2" spans="2:17" ht="43.25" customHeight="1">
      <c r="B2" s="1109" t="s">
        <v>1031</v>
      </c>
      <c r="C2" s="511"/>
      <c r="D2" s="511"/>
      <c r="E2" s="511"/>
      <c r="G2" s="511"/>
      <c r="H2" s="511"/>
      <c r="I2" s="511"/>
      <c r="J2" s="511"/>
      <c r="K2" s="511"/>
      <c r="L2" s="511"/>
      <c r="M2" s="511"/>
      <c r="N2" s="511"/>
      <c r="O2" s="511"/>
      <c r="P2" s="511"/>
      <c r="Q2" s="511"/>
    </row>
    <row r="3" spans="2:17" ht="28.25" customHeight="1">
      <c r="G3" s="512"/>
      <c r="H3" s="512"/>
      <c r="I3" s="512"/>
      <c r="J3" s="512"/>
      <c r="K3" s="512"/>
      <c r="L3" s="512"/>
      <c r="M3" s="512"/>
    </row>
    <row r="4" spans="2:17" ht="18.649999999999999" customHeight="1">
      <c r="F4" s="513"/>
      <c r="G4" s="512"/>
      <c r="H4" s="512"/>
      <c r="I4" s="512"/>
      <c r="J4" s="512"/>
      <c r="K4" s="512"/>
      <c r="L4" s="512"/>
      <c r="M4" s="512"/>
    </row>
    <row r="5" spans="2:17" ht="18.649999999999999" customHeight="1">
      <c r="F5" s="513"/>
      <c r="G5" s="512"/>
      <c r="H5" s="512"/>
      <c r="I5" s="512"/>
      <c r="J5" s="512"/>
      <c r="K5" s="512"/>
      <c r="L5" s="512"/>
      <c r="M5" s="512"/>
    </row>
    <row r="20" spans="2:11" ht="39" customHeight="1"/>
    <row r="21" spans="2:11" ht="58.75" customHeight="1">
      <c r="B21" s="1107" t="s">
        <v>396</v>
      </c>
      <c r="C21" s="1107" t="s">
        <v>397</v>
      </c>
      <c r="D21" s="1107" t="s">
        <v>398</v>
      </c>
      <c r="E21" s="1108" t="s">
        <v>399</v>
      </c>
      <c r="F21" s="1166" t="s">
        <v>1130</v>
      </c>
      <c r="G21" s="1166" t="s">
        <v>400</v>
      </c>
      <c r="H21" s="1166" t="s">
        <v>401</v>
      </c>
      <c r="I21" s="1166" t="s">
        <v>402</v>
      </c>
      <c r="J21" s="1166" t="s">
        <v>403</v>
      </c>
    </row>
    <row r="22" spans="2:11" ht="47.5" customHeight="1">
      <c r="B22" s="871" t="s">
        <v>404</v>
      </c>
      <c r="C22" s="872" t="s">
        <v>955</v>
      </c>
      <c r="D22" s="882" t="s">
        <v>405</v>
      </c>
      <c r="E22" s="873" t="s">
        <v>406</v>
      </c>
      <c r="F22" s="1167">
        <v>200932</v>
      </c>
      <c r="G22" s="874">
        <v>50000000</v>
      </c>
      <c r="H22" s="1103">
        <v>848643</v>
      </c>
      <c r="I22" s="875">
        <f>IFERROR((H22-F22)/F22,"-")</f>
        <v>3.2235333346604822</v>
      </c>
      <c r="J22" s="876">
        <f t="shared" ref="J22:J30" si="0">(F22-H22)/(F22-G22)</f>
        <v>1.3006488394521761E-2</v>
      </c>
      <c r="K22" s="514"/>
    </row>
    <row r="23" spans="2:11" ht="35" customHeight="1">
      <c r="B23" s="871" t="s">
        <v>407</v>
      </c>
      <c r="C23" s="872" t="s">
        <v>955</v>
      </c>
      <c r="D23" s="882" t="s">
        <v>408</v>
      </c>
      <c r="E23" s="873" t="s">
        <v>409</v>
      </c>
      <c r="F23" s="1168">
        <f>'Environment (original)'!N13</f>
        <v>417818</v>
      </c>
      <c r="G23" s="874">
        <f>F23*(1-0.42)</f>
        <v>242334.44000000003</v>
      </c>
      <c r="H23" s="1103">
        <f>'Environment (original)'!E13</f>
        <v>363686</v>
      </c>
      <c r="I23" s="875">
        <f t="shared" ref="I23:I31" si="1">(H23-F23)/F23</f>
        <v>-0.12955880311523199</v>
      </c>
      <c r="J23" s="877">
        <f t="shared" si="0"/>
        <v>0.30847334075055244</v>
      </c>
      <c r="K23" s="515"/>
    </row>
    <row r="24" spans="2:11" ht="35" customHeight="1">
      <c r="B24" s="871" t="s">
        <v>410</v>
      </c>
      <c r="C24" s="872" t="s">
        <v>955</v>
      </c>
      <c r="D24" s="882" t="s">
        <v>408</v>
      </c>
      <c r="E24" s="873" t="s">
        <v>409</v>
      </c>
      <c r="F24" s="1168">
        <f>'Environment (original)'!H18</f>
        <v>3433660</v>
      </c>
      <c r="G24" s="874">
        <f>F24*(1-0.42)</f>
        <v>1991522.8000000003</v>
      </c>
      <c r="H24" s="1103">
        <f>'Environment (original)'!E18</f>
        <v>2495475</v>
      </c>
      <c r="I24" s="875">
        <f t="shared" si="1"/>
        <v>-0.27323177018108957</v>
      </c>
      <c r="J24" s="877">
        <f t="shared" si="0"/>
        <v>0.6505518337644991</v>
      </c>
    </row>
    <row r="25" spans="2:11" ht="35" customHeight="1">
      <c r="B25" s="871" t="s">
        <v>904</v>
      </c>
      <c r="C25" s="872" t="s">
        <v>357</v>
      </c>
      <c r="D25" s="882" t="s">
        <v>411</v>
      </c>
      <c r="E25" s="873" t="s">
        <v>412</v>
      </c>
      <c r="F25" s="1169">
        <v>0.70099999999999996</v>
      </c>
      <c r="G25" s="878">
        <v>0.75</v>
      </c>
      <c r="H25" s="1104">
        <v>0.69199999999999995</v>
      </c>
      <c r="I25" s="875">
        <f t="shared" si="1"/>
        <v>-1.283880171184024E-2</v>
      </c>
      <c r="J25" s="877">
        <f t="shared" si="0"/>
        <v>-0.18367346938775511</v>
      </c>
    </row>
    <row r="26" spans="2:11" ht="35" customHeight="1">
      <c r="B26" s="871" t="s">
        <v>379</v>
      </c>
      <c r="C26" s="872" t="s">
        <v>374</v>
      </c>
      <c r="D26" s="882" t="s">
        <v>413</v>
      </c>
      <c r="E26" s="873" t="s">
        <v>409</v>
      </c>
      <c r="F26" s="1168">
        <f>'Environment (original)'!H71</f>
        <v>42485.7</v>
      </c>
      <c r="G26" s="874">
        <f>F26*(1-0.5)</f>
        <v>21242.85</v>
      </c>
      <c r="H26" s="1103">
        <f>'Environment (original)'!E71</f>
        <v>41859.699999999997</v>
      </c>
      <c r="I26" s="875">
        <f t="shared" si="1"/>
        <v>-1.4734369446660877E-2</v>
      </c>
      <c r="J26" s="877">
        <f t="shared" si="0"/>
        <v>2.9468738893321755E-2</v>
      </c>
    </row>
    <row r="27" spans="2:11" ht="35" customHeight="1">
      <c r="B27" s="879" t="s">
        <v>368</v>
      </c>
      <c r="C27" s="872" t="s">
        <v>1185</v>
      </c>
      <c r="D27" s="882" t="s">
        <v>414</v>
      </c>
      <c r="E27" s="873" t="s">
        <v>409</v>
      </c>
      <c r="F27" s="1168">
        <f>'Environment (original)'!H56</f>
        <v>1849.3430000000001</v>
      </c>
      <c r="G27" s="874">
        <f>F27*(1-0.25)</f>
        <v>1387.0072500000001</v>
      </c>
      <c r="H27" s="1103">
        <f>'Environment (original)'!E56</f>
        <v>1751.885</v>
      </c>
      <c r="I27" s="875">
        <f t="shared" si="1"/>
        <v>-5.2698715165331735E-2</v>
      </c>
      <c r="J27" s="877">
        <f t="shared" si="0"/>
        <v>0.21079486066132694</v>
      </c>
    </row>
    <row r="28" spans="2:11" ht="35" customHeight="1">
      <c r="B28" s="871" t="s">
        <v>415</v>
      </c>
      <c r="C28" s="872"/>
      <c r="D28" s="882" t="s">
        <v>416</v>
      </c>
      <c r="E28" s="873" t="s">
        <v>409</v>
      </c>
      <c r="F28" s="872">
        <f>'Health and Safety'!G22</f>
        <v>0.79</v>
      </c>
      <c r="G28" s="880">
        <v>0.25</v>
      </c>
      <c r="H28" s="1105">
        <f>'Health and Safety'!D22</f>
        <v>0.47</v>
      </c>
      <c r="I28" s="875">
        <f t="shared" si="1"/>
        <v>-0.40506329113924056</v>
      </c>
      <c r="J28" s="877">
        <f>(F28-H28)/(F28-G28)</f>
        <v>0.59259259259259267</v>
      </c>
    </row>
    <row r="29" spans="2:11" ht="35" customHeight="1">
      <c r="B29" s="871" t="s">
        <v>693</v>
      </c>
      <c r="C29" s="872" t="s">
        <v>395</v>
      </c>
      <c r="D29" s="882" t="s">
        <v>1071</v>
      </c>
      <c r="E29" s="873" t="s">
        <v>409</v>
      </c>
      <c r="F29" s="1170">
        <f>'Health and Safety'!G25</f>
        <v>1.1819999999999999</v>
      </c>
      <c r="G29" s="880">
        <v>0.4</v>
      </c>
      <c r="H29" s="1106">
        <f>'Health and Safety'!D25</f>
        <v>1.0149999999999999</v>
      </c>
      <c r="I29" s="875">
        <f t="shared" si="1"/>
        <v>-0.14128595600676822</v>
      </c>
      <c r="J29" s="877">
        <f t="shared" si="0"/>
        <v>0.21355498721227628</v>
      </c>
    </row>
    <row r="30" spans="2:11" ht="35" customHeight="1">
      <c r="B30" s="871" t="s">
        <v>417</v>
      </c>
      <c r="C30" s="872"/>
      <c r="D30" s="882" t="s">
        <v>1186</v>
      </c>
      <c r="E30" s="881"/>
      <c r="F30" s="872">
        <v>6.9</v>
      </c>
      <c r="G30" s="880">
        <v>8</v>
      </c>
      <c r="H30" s="1105">
        <v>6.9</v>
      </c>
      <c r="I30" s="875">
        <f t="shared" si="1"/>
        <v>0</v>
      </c>
      <c r="J30" s="877">
        <f t="shared" si="0"/>
        <v>0</v>
      </c>
    </row>
    <row r="31" spans="2:11" ht="35" customHeight="1">
      <c r="B31" s="871" t="s">
        <v>418</v>
      </c>
      <c r="C31" s="872" t="s">
        <v>357</v>
      </c>
      <c r="D31" s="882" t="s">
        <v>419</v>
      </c>
      <c r="E31" s="873" t="s">
        <v>409</v>
      </c>
      <c r="F31" s="1171">
        <v>0.3</v>
      </c>
      <c r="G31" s="878">
        <v>0.4</v>
      </c>
      <c r="H31" s="1104">
        <v>0.28100000000000003</v>
      </c>
      <c r="I31" s="875">
        <f t="shared" si="1"/>
        <v>-6.3333333333333214E-2</v>
      </c>
      <c r="J31" s="877">
        <f>(F31-H31)/(F31-G31)</f>
        <v>-0.18999999999999956</v>
      </c>
    </row>
    <row r="34" spans="7:7">
      <c r="G34" s="517"/>
    </row>
    <row r="37" spans="7:7">
      <c r="G37" s="517"/>
    </row>
  </sheetData>
  <sheetProtection algorithmName="SHA-512" hashValue="CHabJ//OUIDLzaux/yl8StZ+IKm9n2n50O0eElAmJhtGn5UYAVkVUQLyigThgrnY01uncZqDuVEtlRenIx4FdQ==" saltValue="T5GfFKIdt+8TUt2IKSvbrg==" spinCount="100000" sheet="1" objects="1" scenarios="1"/>
  <phoneticPr fontId="3" type="noConversion"/>
  <conditionalFormatting sqref="J22:J31">
    <cfRule type="dataBar" priority="1">
      <dataBar>
        <cfvo type="num" val="-0.2"/>
        <cfvo type="num" val="1"/>
        <color theme="4"/>
      </dataBar>
      <extLst>
        <ext xmlns:x14="http://schemas.microsoft.com/office/spreadsheetml/2009/9/main" uri="{B025F937-C7B1-47D3-B67F-A62EFF666E3E}">
          <x14:id>{25E8B22A-DEEB-417D-BEA1-AEDAE4FA646A}</x14:id>
        </ext>
      </extLst>
    </cfRule>
  </conditionalFormatting>
  <pageMargins left="0.70866141732283472" right="0.70866141732283472" top="0.74803149606299213" bottom="0.74803149606299213" header="0.31496062992125984" footer="0.31496062992125984"/>
  <pageSetup paperSize="9" scale="59" orientation="landscape" r:id="rId1"/>
  <drawing r:id="rId2"/>
  <extLst>
    <ext xmlns:x14="http://schemas.microsoft.com/office/spreadsheetml/2009/9/main" uri="{78C0D931-6437-407d-A8EE-F0AAD7539E65}">
      <x14:conditionalFormattings>
        <x14:conditionalFormatting xmlns:xm="http://schemas.microsoft.com/office/excel/2006/main">
          <x14:cfRule type="dataBar" id="{25E8B22A-DEEB-417D-BEA1-AEDAE4FA646A}">
            <x14:dataBar minLength="0" maxLength="100" border="1" negativeBarBorderColorSameAsPositive="0">
              <x14:cfvo type="num">
                <xm:f>-0.2</xm:f>
              </x14:cfvo>
              <x14:cfvo type="num">
                <xm:f>1</xm:f>
              </x14:cfvo>
              <x14:borderColor rgb="FF638EC6"/>
              <x14:negativeFillColor rgb="FFFF0000"/>
              <x14:negativeBorderColor rgb="FFFF0000"/>
              <x14:axisColor rgb="FF000000"/>
            </x14:dataBar>
          </x14:cfRule>
          <xm:sqref>J22:J31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1A6B4-BFB5-4FFA-B771-0CD89AA40FF1}">
  <sheetPr codeName="Sheet5">
    <tabColor rgb="FFFFC000"/>
  </sheetPr>
  <dimension ref="A2:Y144"/>
  <sheetViews>
    <sheetView topLeftCell="A4" zoomScale="90" zoomScaleNormal="90" workbookViewId="0">
      <selection activeCell="C10" sqref="C10"/>
    </sheetView>
  </sheetViews>
  <sheetFormatPr defaultColWidth="8.81640625" defaultRowHeight="13.5"/>
  <cols>
    <col min="1" max="1" width="14.81640625" style="2" customWidth="1"/>
    <col min="2" max="2" width="88.81640625" style="2" customWidth="1"/>
    <col min="3" max="3" width="97.453125" style="2" customWidth="1"/>
    <col min="4" max="4" width="24.1796875" style="2" customWidth="1"/>
    <col min="5" max="5" width="19.453125" style="2" customWidth="1"/>
    <col min="6" max="6" width="17.1796875" style="2" customWidth="1"/>
    <col min="7" max="7" width="18.54296875" style="2" bestFit="1" customWidth="1"/>
    <col min="8" max="8" width="21.1796875" style="2" customWidth="1"/>
    <col min="9" max="9" width="17.81640625" style="2" customWidth="1"/>
    <col min="10" max="10" width="19.1796875" style="2" bestFit="1" customWidth="1"/>
    <col min="11" max="12" width="20.1796875" style="2" customWidth="1"/>
    <col min="13" max="13" width="22.1796875" style="2" customWidth="1"/>
    <col min="14" max="14" width="21.81640625" style="2" customWidth="1"/>
    <col min="15" max="15" width="20.1796875" style="2" customWidth="1"/>
    <col min="16" max="16" width="17.54296875" style="2" customWidth="1"/>
    <col min="17" max="16384" width="8.81640625" style="2"/>
  </cols>
  <sheetData>
    <row r="2" spans="1:25" ht="40.5">
      <c r="A2" s="16" t="s">
        <v>420</v>
      </c>
      <c r="B2" s="1360" t="s">
        <v>421</v>
      </c>
      <c r="C2" s="1360"/>
      <c r="D2" s="1360"/>
      <c r="E2" s="1360"/>
      <c r="F2" s="1360"/>
      <c r="G2" s="1360"/>
      <c r="H2" s="1360"/>
      <c r="I2" s="1360"/>
      <c r="J2" s="1360"/>
      <c r="K2" s="1360"/>
      <c r="L2" s="1360"/>
      <c r="M2" s="1360"/>
      <c r="N2" s="1360"/>
      <c r="O2" s="8"/>
      <c r="P2" s="19"/>
      <c r="Q2" s="19"/>
      <c r="R2" s="19"/>
      <c r="S2" s="19"/>
      <c r="T2" s="19"/>
      <c r="U2" s="20"/>
      <c r="V2" s="20"/>
      <c r="W2" s="20"/>
      <c r="X2" s="20"/>
    </row>
    <row r="3" spans="1:25" ht="19.5">
      <c r="B3" s="21"/>
      <c r="C3" s="21"/>
      <c r="D3" s="21"/>
      <c r="E3" s="21"/>
      <c r="F3" s="21"/>
      <c r="G3" s="22"/>
      <c r="H3" s="22"/>
      <c r="I3" s="22"/>
      <c r="J3" s="22"/>
      <c r="K3" s="22"/>
      <c r="L3" s="22"/>
      <c r="M3" s="22"/>
      <c r="N3" s="22"/>
      <c r="O3" s="22"/>
      <c r="P3" s="22"/>
      <c r="Q3" s="22"/>
      <c r="R3" s="22"/>
      <c r="S3" s="22"/>
      <c r="T3" s="22"/>
      <c r="U3" s="20"/>
      <c r="V3" s="20"/>
      <c r="W3" s="20"/>
      <c r="X3" s="20"/>
    </row>
    <row r="4" spans="1:25" ht="184.5" customHeight="1">
      <c r="B4" s="1372" t="s">
        <v>422</v>
      </c>
      <c r="C4" s="1372"/>
      <c r="D4" s="1372"/>
      <c r="E4" s="1372"/>
      <c r="F4" s="1372"/>
      <c r="G4" s="1372"/>
      <c r="H4" s="1372"/>
      <c r="I4" s="1372"/>
      <c r="J4" s="1372"/>
      <c r="K4" s="1372"/>
      <c r="L4" s="1372"/>
      <c r="M4" s="20"/>
      <c r="N4" s="20"/>
      <c r="O4" s="20"/>
      <c r="P4" s="20"/>
      <c r="Q4" s="20"/>
      <c r="R4" s="20"/>
      <c r="S4" s="20"/>
      <c r="T4" s="20"/>
      <c r="U4" s="20"/>
      <c r="V4" s="20"/>
      <c r="W4" s="20"/>
      <c r="X4" s="20"/>
    </row>
    <row r="5" spans="1:25">
      <c r="B5" s="23"/>
      <c r="C5" s="23"/>
      <c r="D5" s="23"/>
      <c r="E5" s="23"/>
      <c r="F5" s="23"/>
      <c r="G5" s="24"/>
      <c r="H5" s="24"/>
      <c r="I5" s="24"/>
      <c r="J5" s="20"/>
      <c r="K5" s="20"/>
      <c r="L5" s="20"/>
      <c r="M5" s="20"/>
      <c r="N5" s="20"/>
      <c r="O5" s="20"/>
      <c r="P5" s="25"/>
      <c r="Q5" s="20"/>
      <c r="R5" s="20"/>
      <c r="S5" s="20"/>
      <c r="T5" s="20"/>
      <c r="U5" s="20"/>
      <c r="V5" s="20"/>
      <c r="W5" s="20"/>
      <c r="X5" s="20"/>
    </row>
    <row r="6" spans="1:25" ht="24.5">
      <c r="B6" s="26" t="s">
        <v>423</v>
      </c>
      <c r="C6" s="27"/>
      <c r="D6" s="28"/>
      <c r="E6" s="28"/>
      <c r="F6" s="28"/>
      <c r="G6" s="1357"/>
      <c r="H6" s="1357"/>
      <c r="I6" s="1357"/>
      <c r="J6" s="29"/>
      <c r="K6" s="29"/>
      <c r="L6" s="29"/>
      <c r="M6" s="29"/>
      <c r="N6" s="29"/>
      <c r="O6" s="20"/>
      <c r="P6" s="20"/>
      <c r="Q6" s="20"/>
      <c r="R6" s="20"/>
      <c r="S6" s="20"/>
      <c r="T6" s="20"/>
      <c r="U6" s="20"/>
      <c r="V6" s="20"/>
      <c r="W6" s="20"/>
      <c r="X6" s="20"/>
    </row>
    <row r="7" spans="1:25">
      <c r="C7" s="30"/>
      <c r="D7" s="31"/>
      <c r="E7" s="31"/>
      <c r="F7" s="31"/>
      <c r="G7" s="32"/>
      <c r="H7" s="32"/>
      <c r="I7" s="32"/>
      <c r="J7" s="32"/>
      <c r="K7" s="32"/>
      <c r="L7" s="32"/>
      <c r="M7" s="33"/>
      <c r="N7" s="33"/>
      <c r="O7" s="20"/>
      <c r="P7" s="33"/>
      <c r="Q7" s="33"/>
      <c r="R7" s="33"/>
      <c r="S7" s="33"/>
      <c r="T7" s="33"/>
      <c r="U7" s="33"/>
      <c r="V7" s="33"/>
      <c r="W7" s="33"/>
      <c r="X7" s="33"/>
    </row>
    <row r="8" spans="1:25" ht="14.25" customHeight="1">
      <c r="B8" s="1361" t="s">
        <v>424</v>
      </c>
      <c r="C8" s="1362" t="s">
        <v>425</v>
      </c>
      <c r="D8" s="1363" t="s">
        <v>426</v>
      </c>
      <c r="E8" s="1373" t="s">
        <v>427</v>
      </c>
      <c r="F8" s="1373"/>
      <c r="G8" s="1373"/>
      <c r="H8" s="1358" t="s">
        <v>412</v>
      </c>
      <c r="I8" s="1358"/>
      <c r="J8" s="1358"/>
      <c r="K8" s="1358" t="s">
        <v>406</v>
      </c>
      <c r="L8" s="1358"/>
      <c r="M8" s="1358"/>
      <c r="N8" s="233" t="s">
        <v>409</v>
      </c>
      <c r="O8" s="20"/>
      <c r="P8" s="20"/>
      <c r="Q8" s="20"/>
      <c r="R8" s="20"/>
      <c r="S8" s="20"/>
      <c r="T8" s="20"/>
      <c r="U8" s="20"/>
      <c r="V8" s="20"/>
      <c r="W8" s="20"/>
      <c r="X8" s="20"/>
      <c r="Y8" s="20"/>
    </row>
    <row r="9" spans="1:25" ht="28" customHeight="1">
      <c r="B9" s="1361"/>
      <c r="C9" s="1362"/>
      <c r="D9" s="1364"/>
      <c r="E9" s="232" t="s">
        <v>428</v>
      </c>
      <c r="F9" s="232" t="s">
        <v>429</v>
      </c>
      <c r="G9" s="232" t="s">
        <v>430</v>
      </c>
      <c r="H9" s="233" t="s">
        <v>428</v>
      </c>
      <c r="I9" s="233" t="s">
        <v>429</v>
      </c>
      <c r="J9" s="234" t="s">
        <v>430</v>
      </c>
      <c r="K9" s="233" t="s">
        <v>428</v>
      </c>
      <c r="L9" s="233" t="s">
        <v>429</v>
      </c>
      <c r="M9" s="234" t="s">
        <v>430</v>
      </c>
      <c r="N9" s="233" t="s">
        <v>428</v>
      </c>
      <c r="O9" s="20"/>
      <c r="P9" s="34"/>
      <c r="Q9" s="34"/>
      <c r="R9" s="20"/>
      <c r="S9" s="20"/>
      <c r="T9" s="20"/>
      <c r="U9" s="20"/>
      <c r="V9" s="20"/>
      <c r="W9" s="20"/>
      <c r="X9" s="20"/>
      <c r="Y9" s="20"/>
    </row>
    <row r="10" spans="1:25" ht="127.5">
      <c r="B10" s="155" t="s">
        <v>351</v>
      </c>
      <c r="C10" s="156" t="s">
        <v>431</v>
      </c>
      <c r="D10" s="156" t="s">
        <v>432</v>
      </c>
      <c r="E10" s="244">
        <v>235892</v>
      </c>
      <c r="F10" s="244">
        <v>100466</v>
      </c>
      <c r="G10" s="244">
        <f>E10-F10</f>
        <v>135426</v>
      </c>
      <c r="H10" s="157">
        <v>262233</v>
      </c>
      <c r="I10" s="157">
        <v>108639</v>
      </c>
      <c r="J10" s="157">
        <f>H10-I10</f>
        <v>153594</v>
      </c>
      <c r="K10" s="157">
        <v>255832</v>
      </c>
      <c r="L10" s="157">
        <v>116770</v>
      </c>
      <c r="M10" s="157">
        <f>K10-L10</f>
        <v>139062</v>
      </c>
      <c r="N10" s="157">
        <v>253097</v>
      </c>
      <c r="O10" s="20"/>
      <c r="P10" s="35"/>
      <c r="Q10" s="35"/>
      <c r="R10" s="20"/>
      <c r="S10" s="20"/>
      <c r="T10" s="20"/>
      <c r="U10" s="20"/>
      <c r="V10" s="20"/>
      <c r="W10" s="20"/>
      <c r="X10" s="20"/>
      <c r="Y10" s="20"/>
    </row>
    <row r="11" spans="1:25" ht="81">
      <c r="B11" s="155" t="s">
        <v>352</v>
      </c>
      <c r="C11" s="156" t="s">
        <v>433</v>
      </c>
      <c r="D11" s="156" t="s">
        <v>432</v>
      </c>
      <c r="E11" s="244">
        <v>131449</v>
      </c>
      <c r="F11" s="244">
        <v>1024</v>
      </c>
      <c r="G11" s="244">
        <f t="shared" ref="G11:G14" si="0">E11-F11</f>
        <v>130425</v>
      </c>
      <c r="H11" s="157">
        <v>181419</v>
      </c>
      <c r="I11" s="157">
        <v>1482</v>
      </c>
      <c r="J11" s="157">
        <f t="shared" ref="J11:J14" si="1">H11-I11</f>
        <v>179937</v>
      </c>
      <c r="K11" s="157">
        <v>181525</v>
      </c>
      <c r="L11" s="157">
        <v>3969</v>
      </c>
      <c r="M11" s="157">
        <f>K11-L11</f>
        <v>177556</v>
      </c>
      <c r="N11" s="157">
        <v>192333</v>
      </c>
      <c r="O11" s="20"/>
      <c r="P11" s="35"/>
      <c r="Q11" s="35"/>
      <c r="R11" s="20"/>
      <c r="S11" s="20"/>
      <c r="T11" s="20"/>
      <c r="U11" s="20"/>
      <c r="V11" s="20"/>
      <c r="W11" s="20"/>
      <c r="X11" s="20"/>
      <c r="Y11" s="20"/>
    </row>
    <row r="12" spans="1:25" ht="81">
      <c r="B12" s="155" t="s">
        <v>353</v>
      </c>
      <c r="C12" s="156" t="s">
        <v>434</v>
      </c>
      <c r="D12" s="156" t="s">
        <v>432</v>
      </c>
      <c r="E12" s="244">
        <v>206357</v>
      </c>
      <c r="F12" s="244">
        <v>21721</v>
      </c>
      <c r="G12" s="244">
        <f t="shared" si="0"/>
        <v>184636</v>
      </c>
      <c r="H12" s="157">
        <v>241531</v>
      </c>
      <c r="I12" s="157">
        <v>29037</v>
      </c>
      <c r="J12" s="157">
        <f t="shared" si="1"/>
        <v>212494</v>
      </c>
      <c r="K12" s="157">
        <v>226283</v>
      </c>
      <c r="L12" s="157">
        <v>33772</v>
      </c>
      <c r="M12" s="157">
        <f t="shared" ref="M12:M14" si="2">K12-L12</f>
        <v>192511</v>
      </c>
      <c r="N12" s="157">
        <v>251569</v>
      </c>
      <c r="O12" s="20"/>
      <c r="P12" s="35"/>
      <c r="Q12" s="35"/>
      <c r="R12" s="20"/>
      <c r="S12" s="20"/>
      <c r="T12" s="20"/>
      <c r="U12" s="20"/>
      <c r="V12" s="20"/>
      <c r="W12" s="20"/>
      <c r="X12" s="20"/>
      <c r="Y12" s="20"/>
    </row>
    <row r="13" spans="1:25" ht="27">
      <c r="B13" s="158" t="s">
        <v>435</v>
      </c>
      <c r="C13" s="159" t="s">
        <v>436</v>
      </c>
      <c r="D13" s="159" t="s">
        <v>437</v>
      </c>
      <c r="E13" s="244">
        <v>367341</v>
      </c>
      <c r="F13" s="244">
        <v>101489</v>
      </c>
      <c r="G13" s="244">
        <f t="shared" si="0"/>
        <v>265852</v>
      </c>
      <c r="H13" s="241">
        <f>H10+H11</f>
        <v>443652</v>
      </c>
      <c r="I13" s="241">
        <f t="shared" ref="I13" si="3">I10+I11</f>
        <v>110121</v>
      </c>
      <c r="J13" s="241">
        <f t="shared" si="1"/>
        <v>333531</v>
      </c>
      <c r="K13" s="241">
        <v>437357</v>
      </c>
      <c r="L13" s="241">
        <v>120739</v>
      </c>
      <c r="M13" s="241">
        <f t="shared" si="2"/>
        <v>316618</v>
      </c>
      <c r="N13" s="241">
        <v>445430</v>
      </c>
      <c r="O13" s="20"/>
      <c r="P13" s="73"/>
      <c r="Q13" s="35"/>
      <c r="R13" s="20"/>
      <c r="S13" s="20"/>
      <c r="T13" s="20"/>
      <c r="U13" s="20"/>
      <c r="V13" s="20"/>
      <c r="W13" s="20"/>
      <c r="X13" s="20"/>
      <c r="Y13" s="20"/>
    </row>
    <row r="14" spans="1:25" ht="27">
      <c r="B14" s="155" t="s">
        <v>438</v>
      </c>
      <c r="C14" s="156" t="s">
        <v>439</v>
      </c>
      <c r="D14" s="156" t="s">
        <v>432</v>
      </c>
      <c r="E14" s="244">
        <v>442248</v>
      </c>
      <c r="F14" s="244">
        <v>122186</v>
      </c>
      <c r="G14" s="244">
        <f t="shared" si="0"/>
        <v>320062</v>
      </c>
      <c r="H14" s="157">
        <f>H10+H12</f>
        <v>503764</v>
      </c>
      <c r="I14" s="157">
        <v>137676</v>
      </c>
      <c r="J14" s="157">
        <f t="shared" si="1"/>
        <v>366088</v>
      </c>
      <c r="K14" s="157">
        <f>K10+K12</f>
        <v>482115</v>
      </c>
      <c r="L14" s="157">
        <f t="shared" ref="L14" si="4">L10+L12</f>
        <v>150542</v>
      </c>
      <c r="M14" s="157">
        <f t="shared" si="2"/>
        <v>331573</v>
      </c>
      <c r="N14" s="157">
        <v>504666</v>
      </c>
      <c r="O14" s="20"/>
      <c r="P14" s="74"/>
      <c r="Q14" s="35"/>
      <c r="R14" s="20"/>
      <c r="S14" s="20"/>
      <c r="T14" s="20"/>
      <c r="U14" s="20"/>
      <c r="V14" s="20"/>
      <c r="W14" s="20"/>
      <c r="X14" s="20"/>
      <c r="Y14" s="20"/>
    </row>
    <row r="15" spans="1:25" ht="30">
      <c r="B15" s="158" t="s">
        <v>355</v>
      </c>
      <c r="C15" s="159" t="s">
        <v>440</v>
      </c>
      <c r="D15" s="159" t="s">
        <v>441</v>
      </c>
      <c r="E15" s="245">
        <v>3.4</v>
      </c>
      <c r="F15" s="245">
        <v>22.3</v>
      </c>
      <c r="G15" s="245">
        <v>2.6</v>
      </c>
      <c r="H15" s="242">
        <v>3.9</v>
      </c>
      <c r="I15" s="242">
        <v>20.5</v>
      </c>
      <c r="J15" s="243">
        <v>3.1</v>
      </c>
      <c r="K15" s="242">
        <v>3.9</v>
      </c>
      <c r="L15" s="242">
        <v>12.2</v>
      </c>
      <c r="M15" s="242">
        <v>3.1</v>
      </c>
      <c r="N15" s="242">
        <v>3.6</v>
      </c>
      <c r="O15" s="20"/>
      <c r="P15" s="35"/>
      <c r="Q15" s="35"/>
      <c r="R15" s="20"/>
      <c r="S15" s="20"/>
      <c r="T15" s="20"/>
      <c r="U15" s="20"/>
      <c r="V15" s="20"/>
      <c r="W15" s="20"/>
      <c r="X15" s="20"/>
      <c r="Y15" s="20"/>
    </row>
    <row r="16" spans="1:25">
      <c r="B16" s="36"/>
      <c r="C16" s="36"/>
      <c r="D16" s="37"/>
      <c r="E16" s="37"/>
      <c r="F16" s="37"/>
      <c r="G16" s="38"/>
      <c r="H16" s="39"/>
      <c r="I16" s="39"/>
      <c r="J16" s="39"/>
      <c r="K16" s="39"/>
      <c r="L16" s="39"/>
      <c r="M16" s="40"/>
      <c r="N16" s="20"/>
      <c r="O16" s="20"/>
      <c r="P16" s="20"/>
      <c r="Q16" s="20"/>
      <c r="R16" s="20"/>
      <c r="S16" s="20"/>
      <c r="T16" s="20"/>
      <c r="U16" s="20"/>
      <c r="V16" s="20"/>
      <c r="W16" s="20"/>
      <c r="X16" s="20"/>
    </row>
    <row r="17" spans="2:24">
      <c r="B17" s="398" t="s">
        <v>442</v>
      </c>
      <c r="C17" s="398" t="s">
        <v>443</v>
      </c>
      <c r="D17" s="399" t="s">
        <v>426</v>
      </c>
      <c r="E17" s="400" t="s">
        <v>427</v>
      </c>
      <c r="F17" s="401" t="s">
        <v>412</v>
      </c>
      <c r="G17" s="401" t="s">
        <v>406</v>
      </c>
      <c r="H17" s="401" t="s">
        <v>409</v>
      </c>
      <c r="I17" s="34"/>
      <c r="J17" s="41"/>
      <c r="K17" s="39"/>
      <c r="L17" s="39"/>
      <c r="M17" s="40"/>
      <c r="N17" s="20"/>
      <c r="O17" s="20"/>
      <c r="P17" s="20"/>
      <c r="Q17" s="20"/>
      <c r="R17" s="20"/>
      <c r="S17" s="20"/>
      <c r="T17" s="20"/>
      <c r="U17" s="20"/>
      <c r="V17" s="20"/>
      <c r="W17" s="20"/>
      <c r="X17" s="20"/>
    </row>
    <row r="18" spans="2:24" ht="40.5">
      <c r="B18" s="403" t="s">
        <v>444</v>
      </c>
      <c r="C18" s="402" t="s">
        <v>445</v>
      </c>
      <c r="D18" s="403" t="s">
        <v>446</v>
      </c>
      <c r="E18" s="404">
        <v>2495473</v>
      </c>
      <c r="F18" s="405">
        <v>2978197</v>
      </c>
      <c r="G18" s="405">
        <v>2812518</v>
      </c>
      <c r="H18" s="405">
        <v>3433660</v>
      </c>
      <c r="I18" s="42"/>
      <c r="J18" s="75"/>
      <c r="K18" s="39"/>
      <c r="L18" s="39"/>
      <c r="M18" s="40"/>
      <c r="N18" s="20"/>
      <c r="O18" s="20"/>
      <c r="P18" s="20"/>
      <c r="Q18" s="20"/>
      <c r="R18" s="20"/>
      <c r="S18" s="20"/>
      <c r="T18" s="20"/>
      <c r="U18" s="20"/>
      <c r="V18" s="20"/>
      <c r="W18" s="20"/>
      <c r="X18" s="20"/>
    </row>
    <row r="19" spans="2:24" ht="27">
      <c r="B19" s="403" t="s">
        <v>447</v>
      </c>
      <c r="C19" s="402" t="s">
        <v>448</v>
      </c>
      <c r="D19" s="403" t="s">
        <v>446</v>
      </c>
      <c r="E19" s="404">
        <v>182667</v>
      </c>
      <c r="F19" s="405">
        <v>348360</v>
      </c>
      <c r="G19" s="405">
        <v>308835</v>
      </c>
      <c r="H19" s="405">
        <v>399630</v>
      </c>
      <c r="I19" s="39"/>
      <c r="J19" s="39"/>
      <c r="K19" s="39"/>
      <c r="L19" s="39"/>
      <c r="M19" s="40"/>
      <c r="N19" s="20"/>
      <c r="O19" s="20"/>
      <c r="P19" s="20"/>
      <c r="Q19" s="20"/>
      <c r="R19" s="20"/>
      <c r="S19" s="20"/>
      <c r="T19" s="20"/>
      <c r="U19" s="20"/>
      <c r="V19" s="20"/>
      <c r="W19" s="20"/>
      <c r="X19" s="20"/>
    </row>
    <row r="20" spans="2:24" ht="40.5">
      <c r="B20" s="403" t="s">
        <v>449</v>
      </c>
      <c r="C20" s="402" t="s">
        <v>450</v>
      </c>
      <c r="D20" s="403" t="s">
        <v>446</v>
      </c>
      <c r="E20" s="404">
        <v>41485</v>
      </c>
      <c r="F20" s="418">
        <v>47438</v>
      </c>
      <c r="G20" s="418">
        <v>39899</v>
      </c>
      <c r="H20" s="418">
        <v>41259</v>
      </c>
      <c r="I20" s="39"/>
      <c r="J20" s="39"/>
      <c r="K20" s="39"/>
      <c r="L20" s="39"/>
      <c r="M20" s="40"/>
      <c r="N20" s="20"/>
      <c r="O20" s="20"/>
      <c r="P20" s="20"/>
      <c r="Q20" s="20"/>
      <c r="R20" s="20"/>
      <c r="S20" s="20"/>
      <c r="T20" s="20"/>
      <c r="U20" s="20"/>
      <c r="V20" s="20"/>
      <c r="W20" s="20"/>
      <c r="X20" s="20"/>
    </row>
    <row r="21" spans="2:24" ht="27">
      <c r="B21" s="403" t="s">
        <v>451</v>
      </c>
      <c r="C21" s="402" t="s">
        <v>452</v>
      </c>
      <c r="D21" s="403" t="s">
        <v>446</v>
      </c>
      <c r="E21" s="404">
        <v>81999</v>
      </c>
      <c r="F21" s="405">
        <v>168750</v>
      </c>
      <c r="G21" s="405">
        <v>102552</v>
      </c>
      <c r="H21" s="405">
        <v>102552</v>
      </c>
      <c r="I21" s="39"/>
      <c r="J21" s="39"/>
      <c r="K21" s="39"/>
      <c r="L21" s="39"/>
      <c r="M21" s="40"/>
      <c r="N21" s="20"/>
      <c r="O21" s="20"/>
      <c r="P21" s="20"/>
      <c r="Q21" s="20"/>
      <c r="R21" s="20"/>
      <c r="S21" s="20"/>
      <c r="T21" s="20"/>
      <c r="U21" s="20"/>
      <c r="V21" s="20"/>
      <c r="W21" s="20"/>
      <c r="X21" s="20"/>
    </row>
    <row r="22" spans="2:24" ht="40.5">
      <c r="B22" s="403" t="s">
        <v>453</v>
      </c>
      <c r="C22" s="402" t="s">
        <v>454</v>
      </c>
      <c r="D22" s="403" t="s">
        <v>446</v>
      </c>
      <c r="E22" s="404">
        <v>4029</v>
      </c>
      <c r="F22" s="405">
        <v>5879</v>
      </c>
      <c r="G22" s="405">
        <v>5346</v>
      </c>
      <c r="H22" s="405">
        <v>5303</v>
      </c>
      <c r="I22" s="39"/>
      <c r="J22" s="39"/>
      <c r="K22" s="39"/>
      <c r="L22" s="39"/>
      <c r="M22" s="40"/>
      <c r="N22" s="20"/>
      <c r="O22" s="20"/>
      <c r="P22" s="20"/>
      <c r="Q22" s="20"/>
      <c r="R22" s="20"/>
      <c r="S22" s="20"/>
      <c r="T22" s="20"/>
      <c r="U22" s="20"/>
      <c r="V22" s="20"/>
      <c r="W22" s="20"/>
      <c r="X22" s="20"/>
    </row>
    <row r="23" spans="2:24" ht="67.5">
      <c r="B23" s="403" t="s">
        <v>455</v>
      </c>
      <c r="C23" s="402" t="s">
        <v>456</v>
      </c>
      <c r="D23" s="403" t="s">
        <v>446</v>
      </c>
      <c r="E23" s="404">
        <v>5077.333333333333</v>
      </c>
      <c r="F23" s="405">
        <v>1336</v>
      </c>
      <c r="G23" s="405">
        <v>67</v>
      </c>
      <c r="H23" s="405">
        <v>9202</v>
      </c>
      <c r="I23" s="39"/>
      <c r="J23" s="39"/>
      <c r="K23" s="39"/>
      <c r="L23" s="39"/>
      <c r="M23" s="40"/>
      <c r="N23" s="20"/>
      <c r="O23" s="20"/>
      <c r="P23" s="20"/>
      <c r="Q23" s="20"/>
      <c r="R23" s="20"/>
      <c r="S23" s="20"/>
      <c r="T23" s="20"/>
      <c r="U23" s="20"/>
      <c r="V23" s="20"/>
      <c r="W23" s="20"/>
      <c r="X23" s="20"/>
    </row>
    <row r="24" spans="2:24" ht="40.5">
      <c r="B24" s="403" t="s">
        <v>457</v>
      </c>
      <c r="C24" s="402" t="s">
        <v>458</v>
      </c>
      <c r="D24" s="403" t="s">
        <v>446</v>
      </c>
      <c r="E24" s="404">
        <v>13627</v>
      </c>
      <c r="F24" s="405">
        <v>15718</v>
      </c>
      <c r="G24" s="405">
        <v>29957</v>
      </c>
      <c r="H24" s="405">
        <v>29957</v>
      </c>
      <c r="I24" s="39"/>
      <c r="J24" s="39"/>
      <c r="K24" s="39"/>
      <c r="L24" s="39"/>
      <c r="M24" s="40"/>
      <c r="N24" s="20"/>
      <c r="O24" s="20"/>
      <c r="P24" s="20"/>
      <c r="Q24" s="20"/>
      <c r="R24" s="20"/>
      <c r="S24" s="20"/>
      <c r="T24" s="20"/>
      <c r="U24" s="20"/>
      <c r="V24" s="20"/>
      <c r="W24" s="20"/>
      <c r="X24" s="20"/>
    </row>
    <row r="25" spans="2:24" ht="16.5">
      <c r="B25" s="403" t="s">
        <v>459</v>
      </c>
      <c r="C25" s="402" t="s">
        <v>460</v>
      </c>
      <c r="D25" s="403" t="s">
        <v>446</v>
      </c>
      <c r="E25" s="404">
        <v>523</v>
      </c>
      <c r="F25" s="405">
        <v>698</v>
      </c>
      <c r="G25" s="405">
        <v>602</v>
      </c>
      <c r="H25" s="405">
        <v>5094</v>
      </c>
      <c r="I25" s="39"/>
      <c r="J25" s="39"/>
      <c r="K25" s="39"/>
      <c r="L25" s="39"/>
      <c r="M25" s="40"/>
      <c r="N25" s="20"/>
      <c r="O25" s="20"/>
      <c r="P25" s="20"/>
      <c r="Q25" s="20"/>
      <c r="R25" s="20"/>
      <c r="S25" s="20"/>
      <c r="T25" s="20"/>
      <c r="U25" s="20"/>
      <c r="V25" s="20"/>
      <c r="W25" s="20"/>
      <c r="X25" s="20"/>
    </row>
    <row r="26" spans="2:24" ht="40.5">
      <c r="B26" s="403" t="s">
        <v>461</v>
      </c>
      <c r="C26" s="402" t="s">
        <v>462</v>
      </c>
      <c r="D26" s="403" t="s">
        <v>446</v>
      </c>
      <c r="E26" s="404">
        <v>0</v>
      </c>
      <c r="F26" s="405">
        <v>0</v>
      </c>
      <c r="G26" s="405">
        <v>0</v>
      </c>
      <c r="H26" s="405">
        <v>0</v>
      </c>
      <c r="I26" s="39"/>
      <c r="J26" s="39"/>
      <c r="K26" s="39"/>
      <c r="L26" s="39"/>
      <c r="M26" s="40"/>
      <c r="N26" s="20"/>
      <c r="O26" s="20"/>
      <c r="P26" s="20"/>
      <c r="Q26" s="20"/>
      <c r="R26" s="20"/>
      <c r="S26" s="20"/>
      <c r="T26" s="20"/>
      <c r="U26" s="20"/>
      <c r="V26" s="20"/>
      <c r="W26" s="20"/>
      <c r="X26" s="20"/>
    </row>
    <row r="27" spans="2:24" ht="27">
      <c r="B27" s="403" t="s">
        <v>463</v>
      </c>
      <c r="C27" s="402" t="s">
        <v>464</v>
      </c>
      <c r="D27" s="403" t="s">
        <v>446</v>
      </c>
      <c r="E27" s="404">
        <v>0</v>
      </c>
      <c r="F27" s="405">
        <v>0</v>
      </c>
      <c r="G27" s="405">
        <v>0</v>
      </c>
      <c r="H27" s="405">
        <v>0</v>
      </c>
      <c r="I27" s="39"/>
      <c r="J27" s="39"/>
      <c r="K27" s="39"/>
      <c r="L27" s="39"/>
      <c r="M27" s="40"/>
      <c r="N27" s="20"/>
      <c r="O27" s="20"/>
      <c r="P27" s="20"/>
      <c r="Q27" s="20"/>
      <c r="R27" s="20"/>
      <c r="S27" s="20"/>
      <c r="T27" s="20"/>
      <c r="U27" s="20"/>
      <c r="V27" s="20"/>
      <c r="W27" s="20"/>
      <c r="X27" s="20"/>
    </row>
    <row r="28" spans="2:24" ht="40.5">
      <c r="B28" s="403" t="s">
        <v>465</v>
      </c>
      <c r="C28" s="402" t="s">
        <v>466</v>
      </c>
      <c r="D28" s="403" t="s">
        <v>446</v>
      </c>
      <c r="E28" s="404">
        <v>0</v>
      </c>
      <c r="F28" s="405">
        <v>0</v>
      </c>
      <c r="G28" s="405">
        <v>0</v>
      </c>
      <c r="H28" s="405">
        <v>0</v>
      </c>
      <c r="I28" s="43"/>
      <c r="J28" s="43"/>
      <c r="K28" s="39"/>
      <c r="L28" s="39"/>
      <c r="M28" s="40"/>
      <c r="N28" s="20"/>
      <c r="O28" s="20"/>
      <c r="P28" s="20"/>
      <c r="Q28" s="20"/>
      <c r="R28" s="20"/>
      <c r="S28" s="20"/>
      <c r="T28" s="20"/>
      <c r="U28" s="20"/>
      <c r="V28" s="20"/>
      <c r="W28" s="20"/>
      <c r="X28" s="20"/>
    </row>
    <row r="29" spans="2:24" ht="40.5">
      <c r="B29" s="403" t="s">
        <v>467</v>
      </c>
      <c r="C29" s="402" t="s">
        <v>468</v>
      </c>
      <c r="D29" s="403" t="s">
        <v>446</v>
      </c>
      <c r="E29" s="404">
        <v>0</v>
      </c>
      <c r="F29" s="405">
        <v>0</v>
      </c>
      <c r="G29" s="405">
        <v>0</v>
      </c>
      <c r="H29" s="405">
        <v>0</v>
      </c>
      <c r="I29" s="43"/>
      <c r="J29" s="43"/>
      <c r="K29" s="39"/>
      <c r="L29" s="39"/>
      <c r="M29" s="40"/>
      <c r="N29" s="20"/>
      <c r="O29" s="20"/>
      <c r="P29" s="20"/>
      <c r="Q29" s="20"/>
      <c r="R29" s="20"/>
      <c r="S29" s="20"/>
      <c r="T29" s="20"/>
      <c r="U29" s="20"/>
      <c r="V29" s="20"/>
      <c r="W29" s="20"/>
      <c r="X29" s="20"/>
    </row>
    <row r="30" spans="2:24" ht="16.5">
      <c r="B30" s="403" t="s">
        <v>469</v>
      </c>
      <c r="C30" s="402" t="s">
        <v>470</v>
      </c>
      <c r="D30" s="403" t="s">
        <v>446</v>
      </c>
      <c r="E30" s="404">
        <v>0</v>
      </c>
      <c r="F30" s="405">
        <v>0</v>
      </c>
      <c r="G30" s="405">
        <v>0</v>
      </c>
      <c r="H30" s="405">
        <v>0</v>
      </c>
      <c r="I30" s="43"/>
      <c r="J30" s="43"/>
      <c r="K30" s="39"/>
      <c r="L30" s="39"/>
      <c r="M30" s="40"/>
      <c r="N30" s="20"/>
      <c r="O30" s="20"/>
      <c r="P30" s="20"/>
      <c r="Q30" s="20"/>
      <c r="R30" s="20"/>
      <c r="S30" s="20"/>
      <c r="T30" s="20"/>
      <c r="U30" s="20"/>
      <c r="V30" s="20"/>
      <c r="W30" s="20"/>
      <c r="X30" s="20"/>
    </row>
    <row r="31" spans="2:24" ht="16.5">
      <c r="B31" s="403" t="s">
        <v>471</v>
      </c>
      <c r="C31" s="402" t="s">
        <v>472</v>
      </c>
      <c r="D31" s="403" t="s">
        <v>446</v>
      </c>
      <c r="E31" s="404">
        <v>0</v>
      </c>
      <c r="F31" s="405">
        <v>0</v>
      </c>
      <c r="G31" s="405">
        <v>0</v>
      </c>
      <c r="H31" s="405">
        <v>0</v>
      </c>
      <c r="I31" s="43"/>
      <c r="J31" s="43"/>
      <c r="K31" s="39"/>
      <c r="L31" s="39"/>
      <c r="M31" s="40"/>
      <c r="N31" s="20"/>
      <c r="O31" s="20"/>
      <c r="P31" s="20"/>
      <c r="Q31" s="20"/>
      <c r="R31" s="20"/>
      <c r="S31" s="20"/>
      <c r="T31" s="20"/>
      <c r="U31" s="20"/>
      <c r="V31" s="20"/>
      <c r="W31" s="20"/>
      <c r="X31" s="20"/>
    </row>
    <row r="32" spans="2:24" ht="40.5">
      <c r="B32" s="403" t="s">
        <v>473</v>
      </c>
      <c r="C32" s="402" t="s">
        <v>474</v>
      </c>
      <c r="D32" s="403" t="s">
        <v>446</v>
      </c>
      <c r="E32" s="404">
        <v>125196</v>
      </c>
      <c r="F32" s="405">
        <v>118356</v>
      </c>
      <c r="G32" s="405">
        <v>119005</v>
      </c>
      <c r="H32" s="405">
        <v>129337</v>
      </c>
      <c r="I32" s="39"/>
      <c r="J32" s="39"/>
      <c r="K32" s="39"/>
      <c r="L32" s="39"/>
      <c r="M32" s="40"/>
      <c r="N32" s="20"/>
      <c r="O32" s="20"/>
      <c r="P32" s="20"/>
      <c r="Q32" s="20"/>
      <c r="R32" s="20"/>
      <c r="S32" s="20"/>
      <c r="T32" s="20"/>
      <c r="U32" s="20"/>
      <c r="V32" s="20"/>
      <c r="W32" s="20"/>
      <c r="X32" s="20"/>
    </row>
    <row r="33" spans="2:24" ht="16.5">
      <c r="B33" s="403" t="s">
        <v>475</v>
      </c>
      <c r="C33" s="403"/>
      <c r="D33" s="406" t="s">
        <v>476</v>
      </c>
      <c r="E33" s="404">
        <f>SUM(E18:E32)</f>
        <v>2950076.3333333335</v>
      </c>
      <c r="F33" s="407">
        <f>SUM(F18:F32)</f>
        <v>3684732</v>
      </c>
      <c r="G33" s="407">
        <f>SUM(G18:G32)</f>
        <v>3418781</v>
      </c>
      <c r="H33" s="407">
        <f>SUM(H18:H32)</f>
        <v>4155994</v>
      </c>
      <c r="I33" s="39"/>
      <c r="J33" s="39"/>
      <c r="K33" s="39"/>
      <c r="L33" s="39"/>
      <c r="M33" s="40"/>
      <c r="N33" s="20"/>
      <c r="O33" s="20"/>
      <c r="P33" s="20"/>
      <c r="Q33" s="20"/>
      <c r="R33" s="20"/>
      <c r="S33" s="20"/>
      <c r="T33" s="20"/>
      <c r="U33" s="20"/>
      <c r="V33" s="20"/>
      <c r="W33" s="20"/>
      <c r="X33" s="20"/>
    </row>
    <row r="34" spans="2:24">
      <c r="B34" s="17"/>
      <c r="C34" s="17"/>
      <c r="D34" s="17"/>
      <c r="E34" s="17"/>
      <c r="F34" s="17"/>
      <c r="G34" s="44"/>
      <c r="H34" s="44"/>
      <c r="I34" s="39"/>
      <c r="J34" s="39"/>
      <c r="K34" s="39"/>
      <c r="L34" s="39"/>
      <c r="M34" s="40"/>
      <c r="N34" s="20"/>
      <c r="O34" s="20"/>
      <c r="P34" s="20"/>
      <c r="Q34" s="20"/>
      <c r="R34" s="20"/>
      <c r="S34" s="20"/>
      <c r="T34" s="20"/>
      <c r="U34" s="20"/>
      <c r="V34" s="20"/>
      <c r="W34" s="20"/>
      <c r="X34" s="20"/>
    </row>
    <row r="35" spans="2:24">
      <c r="B35" s="45"/>
      <c r="C35" s="18"/>
      <c r="E35" s="17"/>
      <c r="F35" s="17"/>
      <c r="G35" s="44"/>
      <c r="H35" s="44"/>
      <c r="I35" s="39"/>
      <c r="J35" s="39"/>
      <c r="K35" s="39"/>
      <c r="L35" s="39"/>
      <c r="M35" s="40"/>
      <c r="N35" s="20"/>
      <c r="O35" s="20"/>
      <c r="P35" s="20"/>
      <c r="Q35" s="20"/>
      <c r="R35" s="20"/>
      <c r="S35" s="20"/>
      <c r="T35" s="20"/>
      <c r="U35" s="20"/>
      <c r="V35" s="20"/>
      <c r="W35" s="20"/>
      <c r="X35" s="20"/>
    </row>
    <row r="36" spans="2:24">
      <c r="B36" s="45"/>
      <c r="C36" s="18"/>
      <c r="E36" s="17"/>
      <c r="F36" s="17"/>
      <c r="G36" s="44"/>
      <c r="H36" s="44"/>
      <c r="I36" s="39"/>
      <c r="J36" s="39"/>
      <c r="K36" s="39"/>
      <c r="L36" s="39"/>
      <c r="M36" s="40"/>
      <c r="N36" s="20"/>
      <c r="O36" s="20"/>
      <c r="P36" s="20"/>
      <c r="Q36" s="20"/>
      <c r="R36" s="20"/>
      <c r="S36" s="20"/>
      <c r="T36" s="20"/>
      <c r="U36" s="20"/>
      <c r="V36" s="20"/>
      <c r="W36" s="20"/>
      <c r="X36" s="20"/>
    </row>
    <row r="37" spans="2:24">
      <c r="B37" s="17"/>
      <c r="C37" s="17"/>
      <c r="D37" s="17"/>
      <c r="E37" s="17"/>
      <c r="F37" s="17"/>
      <c r="G37" s="44"/>
      <c r="H37" s="44"/>
      <c r="I37" s="44"/>
      <c r="J37" s="46"/>
      <c r="K37" s="46"/>
      <c r="L37" s="46"/>
      <c r="M37" s="20"/>
      <c r="N37" s="20"/>
      <c r="O37" s="20"/>
      <c r="P37" s="20"/>
      <c r="Q37" s="20"/>
      <c r="R37" s="20"/>
      <c r="S37" s="20"/>
      <c r="T37" s="20"/>
      <c r="U37" s="20"/>
      <c r="V37" s="20"/>
      <c r="W37" s="20"/>
      <c r="X37" s="20"/>
    </row>
    <row r="38" spans="2:24" ht="17.5">
      <c r="B38" s="235" t="s">
        <v>477</v>
      </c>
      <c r="C38" s="166"/>
      <c r="D38" s="236" t="s">
        <v>426</v>
      </c>
      <c r="E38" s="274" t="str">
        <f>E17</f>
        <v>2022/23</v>
      </c>
      <c r="F38" s="275" t="str">
        <f>F17</f>
        <v>2021/22</v>
      </c>
      <c r="G38" s="275" t="str">
        <f>G17</f>
        <v>2020/21</v>
      </c>
      <c r="H38" s="275" t="str">
        <f>H17</f>
        <v>2019/20</v>
      </c>
      <c r="I38" s="44"/>
      <c r="J38" s="46"/>
      <c r="K38" s="46"/>
      <c r="L38" s="46"/>
      <c r="M38" s="20"/>
      <c r="N38" s="20"/>
      <c r="O38" s="20"/>
      <c r="P38" s="20"/>
      <c r="Q38" s="20"/>
      <c r="R38" s="20"/>
      <c r="S38" s="20"/>
      <c r="T38" s="20"/>
      <c r="U38" s="20"/>
      <c r="V38" s="20"/>
      <c r="W38" s="20"/>
      <c r="X38" s="20"/>
    </row>
    <row r="39" spans="2:24" ht="16.5">
      <c r="B39" s="167" t="str">
        <f>B10</f>
        <v>Total Scope 1 GHG emissions</v>
      </c>
      <c r="C39" s="168" t="s">
        <v>428</v>
      </c>
      <c r="D39" s="162" t="s">
        <v>446</v>
      </c>
      <c r="E39" s="247">
        <f>E10</f>
        <v>235892</v>
      </c>
      <c r="F39" s="169">
        <f>H10</f>
        <v>262233</v>
      </c>
      <c r="G39" s="169">
        <f>K10</f>
        <v>255832</v>
      </c>
      <c r="H39" s="169">
        <f>N10</f>
        <v>253097</v>
      </c>
      <c r="J39" s="76"/>
      <c r="K39" s="46"/>
      <c r="L39" s="46"/>
      <c r="M39" s="20"/>
      <c r="N39" s="20"/>
      <c r="O39" s="20"/>
      <c r="P39" s="20"/>
      <c r="Q39" s="20"/>
      <c r="R39" s="20"/>
      <c r="S39" s="20"/>
      <c r="T39" s="20"/>
      <c r="U39" s="20"/>
      <c r="V39" s="20"/>
      <c r="W39" s="20"/>
      <c r="X39" s="20"/>
    </row>
    <row r="40" spans="2:24" ht="16.5">
      <c r="B40" s="167" t="str">
        <f>B11</f>
        <v>Total Scope 2 GHG emissions (market-based)</v>
      </c>
      <c r="C40" s="168" t="s">
        <v>428</v>
      </c>
      <c r="D40" s="162" t="s">
        <v>446</v>
      </c>
      <c r="E40" s="247">
        <f>E11</f>
        <v>131449</v>
      </c>
      <c r="F40" s="169">
        <f>H11</f>
        <v>181419</v>
      </c>
      <c r="G40" s="169">
        <f>K11</f>
        <v>181525</v>
      </c>
      <c r="H40" s="169">
        <f>N11</f>
        <v>192333</v>
      </c>
      <c r="J40" s="76"/>
      <c r="K40" s="46"/>
      <c r="L40" s="46"/>
      <c r="M40" s="20"/>
      <c r="N40" s="20"/>
      <c r="O40" s="20"/>
      <c r="P40" s="20"/>
      <c r="Q40" s="20"/>
      <c r="R40" s="20"/>
      <c r="S40" s="20"/>
      <c r="T40" s="20"/>
      <c r="U40" s="20"/>
      <c r="V40" s="20"/>
      <c r="W40" s="20"/>
      <c r="X40" s="20"/>
    </row>
    <row r="41" spans="2:24" ht="16.5">
      <c r="B41" s="167" t="str">
        <f>"Scope 3 - "&amp;B18</f>
        <v>Scope 3 - Total Scope 3 (Category 1) Purchased goods and services GHG emissions</v>
      </c>
      <c r="C41" s="161" t="s">
        <v>478</v>
      </c>
      <c r="D41" s="162" t="s">
        <v>446</v>
      </c>
      <c r="E41" s="247">
        <f>E18</f>
        <v>2495473</v>
      </c>
      <c r="F41" s="169">
        <f>F18</f>
        <v>2978197</v>
      </c>
      <c r="G41" s="169">
        <f>G18</f>
        <v>2812518</v>
      </c>
      <c r="H41" s="169">
        <f>H18</f>
        <v>3433660</v>
      </c>
      <c r="J41" s="76"/>
      <c r="K41" s="46"/>
      <c r="L41" s="46"/>
      <c r="M41" s="20"/>
      <c r="N41" s="20"/>
      <c r="O41" s="20"/>
      <c r="P41" s="20"/>
      <c r="Q41" s="20"/>
      <c r="R41" s="20"/>
      <c r="S41" s="20"/>
      <c r="T41" s="20"/>
      <c r="U41" s="20"/>
      <c r="V41" s="20"/>
      <c r="W41" s="20"/>
      <c r="X41" s="20"/>
    </row>
    <row r="42" spans="2:24" ht="16.5">
      <c r="B42" s="167" t="str">
        <f>"Scope 3 - All other categories"</f>
        <v>Scope 3 - All other categories</v>
      </c>
      <c r="C42" s="168" t="s">
        <v>479</v>
      </c>
      <c r="D42" s="162" t="s">
        <v>446</v>
      </c>
      <c r="E42" s="247">
        <f>E33-E18</f>
        <v>454603.33333333349</v>
      </c>
      <c r="F42" s="169">
        <f>F33-F18</f>
        <v>706535</v>
      </c>
      <c r="G42" s="169">
        <f>G33-G18</f>
        <v>606263</v>
      </c>
      <c r="H42" s="169">
        <f>H33-H18</f>
        <v>722334</v>
      </c>
      <c r="J42" s="76"/>
      <c r="K42" s="46"/>
      <c r="L42" s="46"/>
      <c r="M42" s="20"/>
      <c r="N42" s="20"/>
      <c r="O42" s="20"/>
      <c r="P42" s="20"/>
      <c r="Q42" s="20"/>
      <c r="R42" s="20"/>
      <c r="S42" s="20"/>
      <c r="T42" s="20"/>
      <c r="U42" s="20"/>
      <c r="V42" s="20"/>
      <c r="W42" s="20"/>
      <c r="X42" s="20"/>
    </row>
    <row r="43" spans="2:24" ht="16.5">
      <c r="B43" s="239" t="s">
        <v>480</v>
      </c>
      <c r="C43" s="239"/>
      <c r="D43" s="164" t="s">
        <v>476</v>
      </c>
      <c r="E43" s="247">
        <f>SUM(E39:E42)</f>
        <v>3317417.3333333335</v>
      </c>
      <c r="F43" s="240">
        <f t="shared" ref="F43:H43" si="5">SUM(F39:F42)</f>
        <v>4128384</v>
      </c>
      <c r="G43" s="240">
        <f t="shared" si="5"/>
        <v>3856138</v>
      </c>
      <c r="H43" s="240">
        <f t="shared" si="5"/>
        <v>4601424</v>
      </c>
      <c r="J43" s="76"/>
      <c r="K43" s="46"/>
      <c r="L43" s="46"/>
      <c r="M43" s="20"/>
      <c r="N43" s="20"/>
      <c r="O43" s="20"/>
      <c r="P43" s="20"/>
      <c r="Q43" s="20"/>
      <c r="R43" s="20"/>
      <c r="S43" s="20"/>
      <c r="T43" s="20"/>
      <c r="U43" s="20"/>
      <c r="V43" s="20"/>
      <c r="W43" s="20"/>
      <c r="X43" s="20"/>
    </row>
    <row r="44" spans="2:24">
      <c r="B44" s="17"/>
      <c r="C44" s="17"/>
      <c r="D44" s="17"/>
      <c r="E44" s="17"/>
      <c r="F44" s="17"/>
      <c r="G44" s="44"/>
      <c r="H44" s="44"/>
      <c r="I44" s="44"/>
      <c r="J44" s="46"/>
      <c r="K44" s="46"/>
      <c r="L44" s="46"/>
      <c r="M44" s="20"/>
      <c r="N44" s="20"/>
      <c r="O44" s="20"/>
      <c r="P44" s="20"/>
      <c r="Q44" s="20"/>
      <c r="R44" s="20"/>
      <c r="S44" s="20"/>
      <c r="T44" s="20"/>
      <c r="U44" s="20"/>
      <c r="V44" s="20"/>
      <c r="W44" s="20"/>
      <c r="X44" s="20"/>
    </row>
    <row r="45" spans="2:24" ht="24.5">
      <c r="B45" s="47" t="s">
        <v>481</v>
      </c>
      <c r="C45" s="27"/>
      <c r="D45" s="28"/>
      <c r="E45" s="28"/>
      <c r="F45" s="28"/>
      <c r="G45" s="1357"/>
      <c r="H45" s="1357"/>
      <c r="I45" s="1357"/>
      <c r="J45" s="1374"/>
      <c r="K45" s="1374"/>
      <c r="L45" s="1374"/>
      <c r="M45" s="1374"/>
      <c r="N45" s="1374"/>
      <c r="O45" s="1374"/>
    </row>
    <row r="46" spans="2:24">
      <c r="B46" s="48"/>
      <c r="C46" s="49"/>
      <c r="D46" s="50"/>
      <c r="E46" s="51"/>
      <c r="F46" s="50"/>
      <c r="G46" s="50"/>
      <c r="H46" s="50"/>
    </row>
    <row r="47" spans="2:24" ht="19.5">
      <c r="B47" s="250" t="s">
        <v>330</v>
      </c>
      <c r="C47" s="251" t="s">
        <v>443</v>
      </c>
      <c r="D47" s="236"/>
      <c r="E47" s="252" t="s">
        <v>427</v>
      </c>
      <c r="F47" s="276" t="s">
        <v>412</v>
      </c>
      <c r="G47" s="277" t="s">
        <v>406</v>
      </c>
      <c r="H47" s="277" t="s">
        <v>409</v>
      </c>
    </row>
    <row r="48" spans="2:24" ht="18" customHeight="1">
      <c r="B48" s="193" t="s">
        <v>482</v>
      </c>
      <c r="C48" s="171"/>
      <c r="D48" s="170"/>
      <c r="E48" s="172"/>
      <c r="F48" s="172"/>
      <c r="G48" s="172"/>
      <c r="H48" s="172"/>
    </row>
    <row r="49" spans="2:11" ht="18" customHeight="1">
      <c r="B49" s="173" t="s">
        <v>483</v>
      </c>
      <c r="C49" s="174" t="s">
        <v>484</v>
      </c>
      <c r="D49" s="175" t="s">
        <v>485</v>
      </c>
      <c r="E49" s="248">
        <v>1750260</v>
      </c>
      <c r="F49" s="176">
        <v>2116235</v>
      </c>
      <c r="G49" s="177">
        <v>2008299</v>
      </c>
      <c r="H49" s="177">
        <v>2205806</v>
      </c>
    </row>
    <row r="50" spans="2:11" ht="18" customHeight="1">
      <c r="B50" s="173" t="s">
        <v>486</v>
      </c>
      <c r="C50" s="174" t="s">
        <v>487</v>
      </c>
      <c r="D50" s="175" t="s">
        <v>485</v>
      </c>
      <c r="E50" s="249">
        <v>0</v>
      </c>
      <c r="F50" s="178">
        <v>39220</v>
      </c>
      <c r="G50" s="179">
        <v>47064</v>
      </c>
      <c r="H50" s="179">
        <v>63024</v>
      </c>
    </row>
    <row r="51" spans="2:11" ht="40.5">
      <c r="B51" s="173" t="s">
        <v>488</v>
      </c>
      <c r="C51" s="174" t="s">
        <v>489</v>
      </c>
      <c r="D51" s="175" t="s">
        <v>485</v>
      </c>
      <c r="E51" s="249">
        <v>95221</v>
      </c>
      <c r="F51" s="178">
        <v>128713</v>
      </c>
      <c r="G51" s="180">
        <v>113638</v>
      </c>
      <c r="H51" s="180">
        <v>108276</v>
      </c>
    </row>
    <row r="52" spans="2:11" ht="27">
      <c r="B52" s="181" t="s">
        <v>490</v>
      </c>
      <c r="C52" s="182" t="s">
        <v>491</v>
      </c>
      <c r="D52" s="183" t="s">
        <v>492</v>
      </c>
      <c r="E52" s="172">
        <f>SUM(E49:E51)</f>
        <v>1845481</v>
      </c>
      <c r="F52" s="184">
        <f>SUM(F49:F51)</f>
        <v>2284168</v>
      </c>
      <c r="G52" s="184">
        <f t="shared" ref="G52:H52" si="6">SUM(G49:G51)</f>
        <v>2169001</v>
      </c>
      <c r="H52" s="184">
        <f t="shared" si="6"/>
        <v>2377106</v>
      </c>
    </row>
    <row r="53" spans="2:11" ht="18" customHeight="1">
      <c r="B53" s="193" t="s">
        <v>493</v>
      </c>
      <c r="C53" s="171"/>
      <c r="D53" s="170"/>
      <c r="E53" s="172"/>
      <c r="F53" s="172"/>
      <c r="G53" s="172"/>
      <c r="H53" s="172"/>
    </row>
    <row r="54" spans="2:11" ht="40.5">
      <c r="B54" s="187" t="s">
        <v>494</v>
      </c>
      <c r="C54" s="174" t="s">
        <v>495</v>
      </c>
      <c r="D54" s="183" t="s">
        <v>485</v>
      </c>
      <c r="E54" s="248">
        <v>48993</v>
      </c>
      <c r="F54" s="186">
        <v>115790</v>
      </c>
      <c r="G54" s="186">
        <v>105378</v>
      </c>
      <c r="H54" s="186">
        <v>117936</v>
      </c>
    </row>
    <row r="55" spans="2:11" ht="17.5">
      <c r="B55" s="193" t="s">
        <v>496</v>
      </c>
      <c r="C55" s="171"/>
      <c r="D55" s="170"/>
      <c r="E55" s="172"/>
      <c r="F55" s="172"/>
      <c r="G55" s="172"/>
      <c r="H55" s="172"/>
    </row>
    <row r="56" spans="2:11" ht="54">
      <c r="B56" s="181" t="s">
        <v>497</v>
      </c>
      <c r="C56" s="187" t="s">
        <v>498</v>
      </c>
      <c r="D56" s="181" t="s">
        <v>499</v>
      </c>
      <c r="E56" s="248">
        <f>(E52-E54)/1000</f>
        <v>1796.4880000000001</v>
      </c>
      <c r="F56" s="185">
        <f>(F52-F54)/1000</f>
        <v>2168.3780000000002</v>
      </c>
      <c r="G56" s="185">
        <f>(G52-G54)/1000</f>
        <v>2063.623</v>
      </c>
      <c r="H56" s="185">
        <f>(H52-H54)/1000</f>
        <v>2259.17</v>
      </c>
      <c r="J56" s="52"/>
      <c r="K56" s="52"/>
    </row>
    <row r="57" spans="2:11">
      <c r="B57" s="78"/>
      <c r="C57" s="78"/>
      <c r="D57" s="78"/>
      <c r="E57" s="409"/>
      <c r="F57" s="408"/>
      <c r="G57" s="408"/>
      <c r="H57" s="408"/>
      <c r="J57" s="62"/>
      <c r="K57" s="62"/>
    </row>
    <row r="58" spans="2:11" ht="189">
      <c r="B58" s="239" t="s">
        <v>372</v>
      </c>
      <c r="C58" s="239" t="s">
        <v>500</v>
      </c>
      <c r="D58" s="200" t="s">
        <v>501</v>
      </c>
      <c r="E58" s="365"/>
      <c r="F58" s="365"/>
      <c r="G58" s="365"/>
      <c r="H58" s="408"/>
      <c r="J58" s="62"/>
      <c r="K58" s="62"/>
    </row>
    <row r="59" spans="2:11">
      <c r="B59" s="78"/>
      <c r="C59" s="78"/>
      <c r="D59" s="78"/>
      <c r="E59" s="409"/>
      <c r="F59" s="408"/>
      <c r="G59" s="408"/>
      <c r="H59" s="408"/>
      <c r="J59" s="62"/>
      <c r="K59" s="62"/>
    </row>
    <row r="60" spans="2:11" ht="17.5">
      <c r="B60" s="193" t="s">
        <v>502</v>
      </c>
      <c r="C60" s="171"/>
      <c r="D60" s="170"/>
      <c r="E60" s="172"/>
      <c r="F60" s="188"/>
      <c r="G60" s="172"/>
      <c r="H60" s="172"/>
      <c r="I60" s="52"/>
      <c r="J60" s="52"/>
    </row>
    <row r="61" spans="2:11" ht="67.5">
      <c r="B61" s="189" t="s">
        <v>503</v>
      </c>
      <c r="C61" s="190" t="s">
        <v>504</v>
      </c>
      <c r="D61" s="191" t="s">
        <v>505</v>
      </c>
      <c r="E61" s="393">
        <v>1383764</v>
      </c>
      <c r="F61" s="212">
        <v>1637952</v>
      </c>
      <c r="G61" s="212">
        <v>1777400</v>
      </c>
      <c r="H61" s="212">
        <v>1678964</v>
      </c>
      <c r="I61" s="52"/>
      <c r="J61" s="52"/>
    </row>
    <row r="62" spans="2:11" ht="81">
      <c r="B62" s="181" t="s">
        <v>369</v>
      </c>
      <c r="C62" s="187" t="s">
        <v>506</v>
      </c>
      <c r="D62" s="181" t="s">
        <v>370</v>
      </c>
      <c r="E62" s="170">
        <v>238</v>
      </c>
      <c r="F62" s="181">
        <v>192</v>
      </c>
      <c r="G62" s="181">
        <v>109</v>
      </c>
      <c r="H62" s="181">
        <v>240</v>
      </c>
      <c r="I62" s="62"/>
      <c r="J62" s="62"/>
    </row>
    <row r="63" spans="2:11" ht="27">
      <c r="B63" s="181" t="s">
        <v>507</v>
      </c>
      <c r="C63" s="187" t="s">
        <v>508</v>
      </c>
      <c r="D63" s="181" t="s">
        <v>357</v>
      </c>
      <c r="E63" s="269">
        <v>0.74</v>
      </c>
      <c r="F63" s="192">
        <v>0.78</v>
      </c>
      <c r="G63" s="192">
        <v>0.79</v>
      </c>
      <c r="H63" s="192">
        <v>0.72</v>
      </c>
      <c r="I63" s="62"/>
      <c r="J63" s="62"/>
    </row>
    <row r="64" spans="2:11" ht="18" customHeight="1">
      <c r="B64" s="53"/>
      <c r="C64" s="54"/>
      <c r="D64" s="60"/>
      <c r="E64" s="60"/>
      <c r="F64" s="61"/>
      <c r="G64" s="61"/>
      <c r="H64" s="61"/>
      <c r="I64" s="62"/>
      <c r="J64" s="62"/>
    </row>
    <row r="65" spans="2:15" ht="19.5">
      <c r="B65" s="250" t="s">
        <v>110</v>
      </c>
      <c r="C65" s="251" t="s">
        <v>443</v>
      </c>
      <c r="D65" s="236"/>
      <c r="E65" s="252" t="s">
        <v>427</v>
      </c>
      <c r="F65" s="276" t="s">
        <v>412</v>
      </c>
      <c r="G65" s="277" t="s">
        <v>406</v>
      </c>
      <c r="H65" s="277" t="s">
        <v>409</v>
      </c>
    </row>
    <row r="66" spans="2:15" ht="18" customHeight="1">
      <c r="B66" s="253" t="s">
        <v>509</v>
      </c>
      <c r="C66" s="255"/>
      <c r="D66" s="230"/>
      <c r="E66" s="248"/>
      <c r="F66" s="248"/>
      <c r="G66" s="248"/>
      <c r="H66" s="248"/>
    </row>
    <row r="67" spans="2:15" ht="40.5">
      <c r="B67" s="174" t="s">
        <v>510</v>
      </c>
      <c r="C67" s="194" t="s">
        <v>511</v>
      </c>
      <c r="D67" s="195" t="s">
        <v>374</v>
      </c>
      <c r="E67" s="270">
        <v>38725.5</v>
      </c>
      <c r="F67" s="196">
        <v>57555</v>
      </c>
      <c r="G67" s="196">
        <v>54207.8</v>
      </c>
      <c r="H67" s="197">
        <v>53861.3</v>
      </c>
    </row>
    <row r="68" spans="2:15" ht="40.5">
      <c r="B68" s="167" t="s">
        <v>512</v>
      </c>
      <c r="C68" s="194" t="s">
        <v>513</v>
      </c>
      <c r="D68" s="195" t="s">
        <v>374</v>
      </c>
      <c r="E68" s="270">
        <v>3356</v>
      </c>
      <c r="F68" s="198">
        <v>2991.8</v>
      </c>
      <c r="G68" s="198">
        <v>3042.7</v>
      </c>
      <c r="H68" s="197">
        <v>2973.4</v>
      </c>
    </row>
    <row r="69" spans="2:15" ht="40.5">
      <c r="B69" s="167" t="s">
        <v>514</v>
      </c>
      <c r="C69" s="194" t="s">
        <v>515</v>
      </c>
      <c r="D69" s="195" t="s">
        <v>374</v>
      </c>
      <c r="E69" s="270">
        <v>7059.4</v>
      </c>
      <c r="F69" s="198">
        <v>19367.3</v>
      </c>
      <c r="G69" s="198">
        <v>18165.5</v>
      </c>
      <c r="H69" s="197">
        <v>7902.9</v>
      </c>
    </row>
    <row r="70" spans="2:15" ht="40.5">
      <c r="B70" s="167" t="s">
        <v>516</v>
      </c>
      <c r="C70" s="194" t="s">
        <v>517</v>
      </c>
      <c r="D70" s="195" t="s">
        <v>374</v>
      </c>
      <c r="E70" s="270">
        <v>14011</v>
      </c>
      <c r="F70" s="198">
        <v>16667</v>
      </c>
      <c r="G70" s="198">
        <v>12360.6</v>
      </c>
      <c r="H70" s="197">
        <v>15456.5</v>
      </c>
    </row>
    <row r="71" spans="2:15">
      <c r="B71" s="199" t="s">
        <v>518</v>
      </c>
      <c r="C71" s="164"/>
      <c r="D71" s="200" t="s">
        <v>374</v>
      </c>
      <c r="E71" s="248">
        <f>E67+E68</f>
        <v>42081.5</v>
      </c>
      <c r="F71" s="201">
        <f>F67+F68</f>
        <v>60546.8</v>
      </c>
      <c r="G71" s="201">
        <f t="shared" ref="G71:H71" si="7">G67+G68</f>
        <v>57250.5</v>
      </c>
      <c r="H71" s="185">
        <f t="shared" si="7"/>
        <v>56834.700000000004</v>
      </c>
    </row>
    <row r="72" spans="2:15" ht="40.5">
      <c r="B72" s="199" t="s">
        <v>373</v>
      </c>
      <c r="C72" s="202" t="s">
        <v>519</v>
      </c>
      <c r="D72" s="200" t="s">
        <v>374</v>
      </c>
      <c r="E72" s="248">
        <v>63152</v>
      </c>
      <c r="F72" s="177">
        <v>96581.4</v>
      </c>
      <c r="G72" s="177">
        <v>87776.6</v>
      </c>
      <c r="H72" s="177">
        <v>80194</v>
      </c>
    </row>
    <row r="73" spans="2:15" ht="17.5">
      <c r="B73" s="253" t="s">
        <v>520</v>
      </c>
      <c r="C73" s="231"/>
      <c r="D73" s="230"/>
      <c r="E73" s="248"/>
      <c r="F73" s="248"/>
      <c r="G73" s="248"/>
      <c r="H73" s="248"/>
    </row>
    <row r="74" spans="2:15" ht="54">
      <c r="B74" s="194" t="s">
        <v>521</v>
      </c>
      <c r="C74" s="194" t="s">
        <v>522</v>
      </c>
      <c r="D74" s="195" t="s">
        <v>374</v>
      </c>
      <c r="E74" s="270">
        <v>858.5</v>
      </c>
      <c r="F74" s="197">
        <v>1862</v>
      </c>
      <c r="G74" s="197">
        <v>1042</v>
      </c>
      <c r="H74" s="197">
        <v>1651</v>
      </c>
    </row>
    <row r="75" spans="2:15" ht="40.5">
      <c r="B75" s="194" t="s">
        <v>523</v>
      </c>
      <c r="C75" s="194" t="s">
        <v>524</v>
      </c>
      <c r="D75" s="195" t="s">
        <v>374</v>
      </c>
      <c r="E75" s="270">
        <v>3871</v>
      </c>
      <c r="F75" s="197">
        <v>17759</v>
      </c>
      <c r="G75" s="197">
        <v>16598</v>
      </c>
      <c r="H75" s="197">
        <v>5860.4</v>
      </c>
    </row>
    <row r="76" spans="2:15" ht="40.5">
      <c r="B76" s="194" t="s">
        <v>525</v>
      </c>
      <c r="C76" s="194" t="s">
        <v>526</v>
      </c>
      <c r="D76" s="195" t="s">
        <v>374</v>
      </c>
      <c r="E76" s="270">
        <v>2057</v>
      </c>
      <c r="F76" s="197">
        <v>2821</v>
      </c>
      <c r="G76" s="197">
        <v>1607</v>
      </c>
      <c r="H76" s="197">
        <v>1556.1</v>
      </c>
    </row>
    <row r="77" spans="2:15" ht="27">
      <c r="B77" s="202" t="s">
        <v>527</v>
      </c>
      <c r="C77" s="202" t="s">
        <v>528</v>
      </c>
      <c r="D77" s="200" t="s">
        <v>374</v>
      </c>
      <c r="E77" s="248">
        <v>6787</v>
      </c>
      <c r="F77" s="185">
        <f>SUM(F74:F76)</f>
        <v>22442</v>
      </c>
      <c r="G77" s="185">
        <f>SUM(G74:G76)</f>
        <v>19247</v>
      </c>
      <c r="H77" s="185">
        <f>SUM(H74:H76)</f>
        <v>9067.5</v>
      </c>
      <c r="L77" s="55"/>
    </row>
    <row r="78" spans="2:15" ht="54">
      <c r="B78" s="194" t="s">
        <v>529</v>
      </c>
      <c r="C78" s="194" t="s">
        <v>530</v>
      </c>
      <c r="D78" s="195" t="s">
        <v>374</v>
      </c>
      <c r="E78" s="270">
        <v>365.8</v>
      </c>
      <c r="F78" s="197">
        <v>2518</v>
      </c>
      <c r="G78" s="197">
        <v>2272</v>
      </c>
      <c r="H78" s="197">
        <v>2613</v>
      </c>
      <c r="L78" s="55"/>
      <c r="O78" s="55"/>
    </row>
    <row r="79" spans="2:15" ht="40.5">
      <c r="B79" s="194" t="s">
        <v>531</v>
      </c>
      <c r="C79" s="194" t="s">
        <v>532</v>
      </c>
      <c r="D79" s="195" t="s">
        <v>374</v>
      </c>
      <c r="E79" s="270">
        <v>15710</v>
      </c>
      <c r="F79" s="197">
        <v>27687</v>
      </c>
      <c r="G79" s="197">
        <v>36293</v>
      </c>
      <c r="H79" s="197">
        <v>41255.199999999997</v>
      </c>
      <c r="L79" s="55"/>
      <c r="O79" s="55"/>
    </row>
    <row r="80" spans="2:15" ht="27">
      <c r="B80" s="194" t="s">
        <v>533</v>
      </c>
      <c r="C80" s="194" t="s">
        <v>534</v>
      </c>
      <c r="D80" s="195" t="s">
        <v>374</v>
      </c>
      <c r="E80" s="270">
        <v>2333</v>
      </c>
      <c r="F80" s="197">
        <v>1640</v>
      </c>
      <c r="G80" s="197">
        <v>2188</v>
      </c>
      <c r="H80" s="197">
        <v>2129</v>
      </c>
    </row>
    <row r="81" spans="2:8" ht="27">
      <c r="B81" s="202" t="s">
        <v>535</v>
      </c>
      <c r="C81" s="202" t="s">
        <v>536</v>
      </c>
      <c r="D81" s="200" t="s">
        <v>374</v>
      </c>
      <c r="E81" s="248">
        <f>E78+E79+E80</f>
        <v>18408.8</v>
      </c>
      <c r="F81" s="185">
        <f>F78+F79+F80</f>
        <v>31845</v>
      </c>
      <c r="G81" s="185">
        <f>G78+G79+G80</f>
        <v>40753</v>
      </c>
      <c r="H81" s="185">
        <f>SUM(H78:H80)</f>
        <v>45997.2</v>
      </c>
    </row>
    <row r="82" spans="2:8" ht="27">
      <c r="B82" s="202" t="s">
        <v>537</v>
      </c>
      <c r="C82" s="202" t="s">
        <v>538</v>
      </c>
      <c r="D82" s="200" t="s">
        <v>374</v>
      </c>
      <c r="E82" s="248">
        <f>E77+E81</f>
        <v>25195.8</v>
      </c>
      <c r="F82" s="185">
        <f>F77+F81</f>
        <v>54287</v>
      </c>
      <c r="G82" s="185">
        <f>G77+G81</f>
        <v>60000</v>
      </c>
      <c r="H82" s="185">
        <f>H77+H81</f>
        <v>55064.7</v>
      </c>
    </row>
    <row r="83" spans="2:8">
      <c r="B83" s="202" t="s">
        <v>539</v>
      </c>
      <c r="C83" s="202" t="s">
        <v>540</v>
      </c>
      <c r="D83" s="200" t="s">
        <v>374</v>
      </c>
      <c r="E83" s="248">
        <f>E76+E80</f>
        <v>4390</v>
      </c>
      <c r="F83" s="185">
        <f>F76+F80</f>
        <v>4461</v>
      </c>
      <c r="G83" s="185">
        <f>G76+G80</f>
        <v>3795</v>
      </c>
      <c r="H83" s="185">
        <f>H76+H80</f>
        <v>3685.1</v>
      </c>
    </row>
    <row r="84" spans="2:8" ht="17.5">
      <c r="B84" s="253" t="s">
        <v>541</v>
      </c>
      <c r="C84" s="231"/>
      <c r="D84" s="230"/>
      <c r="E84" s="248"/>
      <c r="F84" s="248"/>
      <c r="G84" s="248"/>
      <c r="H84" s="248"/>
    </row>
    <row r="85" spans="2:8" ht="67.5">
      <c r="B85" s="203" t="s">
        <v>542</v>
      </c>
      <c r="C85" s="162" t="s">
        <v>543</v>
      </c>
      <c r="D85" s="195" t="s">
        <v>374</v>
      </c>
      <c r="E85" s="271">
        <v>137.49</v>
      </c>
      <c r="F85" s="204">
        <v>795.82</v>
      </c>
      <c r="G85" s="204">
        <v>106.2</v>
      </c>
      <c r="H85" s="204">
        <v>129.58000000000001</v>
      </c>
    </row>
    <row r="86" spans="2:8" ht="67.5">
      <c r="B86" s="203" t="s">
        <v>544</v>
      </c>
      <c r="C86" s="162" t="s">
        <v>545</v>
      </c>
      <c r="D86" s="195" t="s">
        <v>374</v>
      </c>
      <c r="E86" s="271">
        <v>919.51</v>
      </c>
      <c r="F86" s="204">
        <v>895.95</v>
      </c>
      <c r="G86" s="204">
        <v>1788.73</v>
      </c>
      <c r="H86" s="204">
        <v>2782.26</v>
      </c>
    </row>
    <row r="87" spans="2:8" ht="54">
      <c r="B87" s="203" t="s">
        <v>546</v>
      </c>
      <c r="C87" s="162" t="s">
        <v>547</v>
      </c>
      <c r="D87" s="195" t="s">
        <v>374</v>
      </c>
      <c r="E87" s="271">
        <v>14145.51</v>
      </c>
      <c r="F87" s="204">
        <v>12796.66</v>
      </c>
      <c r="G87" s="197">
        <v>11172.38</v>
      </c>
      <c r="H87" s="197">
        <v>14162.31</v>
      </c>
    </row>
    <row r="88" spans="2:8" ht="54">
      <c r="B88" s="203" t="s">
        <v>548</v>
      </c>
      <c r="C88" s="162" t="s">
        <v>549</v>
      </c>
      <c r="D88" s="195" t="s">
        <v>374</v>
      </c>
      <c r="E88" s="271">
        <v>22752.959999999999</v>
      </c>
      <c r="F88" s="204">
        <v>27805.8</v>
      </c>
      <c r="G88" s="204">
        <v>14709.48</v>
      </c>
      <c r="H88" s="204">
        <v>8054.6</v>
      </c>
    </row>
    <row r="89" spans="2:8" ht="67.5">
      <c r="B89" s="199" t="s">
        <v>550</v>
      </c>
      <c r="C89" s="202" t="s">
        <v>551</v>
      </c>
      <c r="D89" s="200" t="s">
        <v>374</v>
      </c>
      <c r="E89" s="248">
        <v>37956</v>
      </c>
      <c r="F89" s="185">
        <f>F85+F86+F87+F88</f>
        <v>42294.229999999996</v>
      </c>
      <c r="G89" s="185">
        <f>G85+G86+G87+G88</f>
        <v>27776.79</v>
      </c>
      <c r="H89" s="185">
        <f>H85+H86+H87+H88</f>
        <v>25128.75</v>
      </c>
    </row>
    <row r="90" spans="2:8">
      <c r="B90" s="203" t="s">
        <v>552</v>
      </c>
      <c r="C90" s="194" t="s">
        <v>553</v>
      </c>
      <c r="D90" s="195" t="s">
        <v>357</v>
      </c>
      <c r="E90" s="272">
        <f>E85/E72</f>
        <v>2.1771281986318726E-3</v>
      </c>
      <c r="F90" s="205">
        <f>F85/F72</f>
        <v>8.2398888398801436E-3</v>
      </c>
      <c r="G90" s="205">
        <f>G85/G72</f>
        <v>1.209889651683934E-3</v>
      </c>
      <c r="H90" s="205">
        <f>H85/H72</f>
        <v>1.6158316083497519E-3</v>
      </c>
    </row>
    <row r="91" spans="2:8">
      <c r="B91" s="175" t="s">
        <v>554</v>
      </c>
      <c r="C91" s="194" t="s">
        <v>553</v>
      </c>
      <c r="D91" s="206" t="s">
        <v>357</v>
      </c>
      <c r="E91" s="272">
        <f>E86/E72</f>
        <v>1.4560267291613884E-2</v>
      </c>
      <c r="F91" s="205">
        <f>F86/F72</f>
        <v>9.2766309040871239E-3</v>
      </c>
      <c r="G91" s="205">
        <f>G86/G72</f>
        <v>2.0378210138009445E-2</v>
      </c>
      <c r="H91" s="205">
        <f>H86/H72</f>
        <v>3.4694116766840415E-2</v>
      </c>
    </row>
    <row r="92" spans="2:8">
      <c r="B92" s="175" t="s">
        <v>555</v>
      </c>
      <c r="C92" s="194" t="s">
        <v>553</v>
      </c>
      <c r="D92" s="206" t="s">
        <v>357</v>
      </c>
      <c r="E92" s="272">
        <f>E89/E72</f>
        <v>0.6010260957689384</v>
      </c>
      <c r="F92" s="205">
        <f>F89/F72</f>
        <v>0.43791278651997173</v>
      </c>
      <c r="G92" s="205">
        <f>G89/G72</f>
        <v>0.31644868905835949</v>
      </c>
      <c r="H92" s="205">
        <f>H89/H72</f>
        <v>0.31334950245654286</v>
      </c>
    </row>
    <row r="93" spans="2:8" ht="17.5">
      <c r="B93" s="253" t="s">
        <v>556</v>
      </c>
      <c r="C93" s="231"/>
      <c r="D93" s="230"/>
      <c r="E93" s="248"/>
      <c r="F93" s="248"/>
      <c r="G93" s="248"/>
      <c r="H93" s="248"/>
    </row>
    <row r="94" spans="2:8" ht="27">
      <c r="B94" s="207" t="s">
        <v>557</v>
      </c>
      <c r="C94" s="208" t="s">
        <v>558</v>
      </c>
      <c r="D94" s="195" t="s">
        <v>374</v>
      </c>
      <c r="E94" s="270">
        <v>17366.54</v>
      </c>
      <c r="F94" s="209">
        <v>19658.759999999998</v>
      </c>
      <c r="G94" s="209">
        <v>15403.35</v>
      </c>
      <c r="H94" s="209">
        <v>18429.82</v>
      </c>
    </row>
    <row r="95" spans="2:8" ht="27">
      <c r="B95" s="207" t="s">
        <v>559</v>
      </c>
      <c r="C95" s="194" t="s">
        <v>560</v>
      </c>
      <c r="D95" s="195" t="s">
        <v>374</v>
      </c>
      <c r="E95" s="273">
        <v>499.71</v>
      </c>
      <c r="F95" s="210">
        <v>1200.71</v>
      </c>
      <c r="G95" s="210">
        <v>427.18</v>
      </c>
      <c r="H95" s="210">
        <v>226.86</v>
      </c>
    </row>
    <row r="96" spans="2:8" ht="27">
      <c r="B96" s="207" t="s">
        <v>561</v>
      </c>
      <c r="C96" s="194" t="s">
        <v>562</v>
      </c>
      <c r="D96" s="195" t="s">
        <v>374</v>
      </c>
      <c r="E96" s="273">
        <v>12460.78</v>
      </c>
      <c r="F96" s="210">
        <v>12532</v>
      </c>
      <c r="G96" s="214">
        <v>10904.96</v>
      </c>
      <c r="H96" s="214">
        <v>12685.23</v>
      </c>
    </row>
    <row r="97" spans="2:25" ht="27">
      <c r="B97" s="211" t="s">
        <v>563</v>
      </c>
      <c r="C97" s="194" t="s">
        <v>564</v>
      </c>
      <c r="D97" s="195" t="s">
        <v>374</v>
      </c>
      <c r="E97" s="248">
        <f>E94-E95-E96</f>
        <v>4406.0500000000011</v>
      </c>
      <c r="F97" s="212">
        <f t="shared" ref="F97:H97" si="8">F94-F95-F96</f>
        <v>5926.0499999999993</v>
      </c>
      <c r="G97" s="212">
        <f t="shared" si="8"/>
        <v>4071.2100000000009</v>
      </c>
      <c r="H97" s="212">
        <f t="shared" si="8"/>
        <v>5517.73</v>
      </c>
    </row>
    <row r="98" spans="2:25" ht="18" customHeight="1">
      <c r="B98"/>
      <c r="C98" s="56"/>
      <c r="D98" s="56"/>
      <c r="E98" s="63"/>
      <c r="F98" s="57"/>
      <c r="G98" s="57"/>
      <c r="H98" s="57"/>
    </row>
    <row r="99" spans="2:25" ht="19.5">
      <c r="B99" s="250" t="s">
        <v>565</v>
      </c>
      <c r="C99" s="251" t="s">
        <v>443</v>
      </c>
      <c r="D99" s="267"/>
      <c r="E99" s="252" t="s">
        <v>427</v>
      </c>
      <c r="F99" s="276" t="s">
        <v>412</v>
      </c>
      <c r="G99" s="277" t="s">
        <v>406</v>
      </c>
      <c r="H99" s="277" t="s">
        <v>409</v>
      </c>
    </row>
    <row r="100" spans="2:25" ht="43.5">
      <c r="B100" s="195" t="s">
        <v>566</v>
      </c>
      <c r="C100" s="168" t="s">
        <v>567</v>
      </c>
      <c r="D100" s="195" t="s">
        <v>374</v>
      </c>
      <c r="E100" s="379">
        <v>336</v>
      </c>
      <c r="F100" s="413">
        <v>393</v>
      </c>
      <c r="G100" s="413">
        <v>378</v>
      </c>
      <c r="H100" s="413">
        <v>363</v>
      </c>
    </row>
    <row r="101" spans="2:25" ht="60">
      <c r="B101" s="195" t="s">
        <v>568</v>
      </c>
      <c r="C101" s="168" t="s">
        <v>569</v>
      </c>
      <c r="D101" s="195" t="s">
        <v>374</v>
      </c>
      <c r="E101" s="379">
        <v>31</v>
      </c>
      <c r="F101" s="413">
        <f>79297.63/1000</f>
        <v>79.297629999999998</v>
      </c>
      <c r="G101" s="413">
        <f>49319.29/1000</f>
        <v>49.319290000000002</v>
      </c>
      <c r="H101" s="413">
        <f>27739.67/1000</f>
        <v>27.739669999999997</v>
      </c>
    </row>
    <row r="102" spans="2:25" ht="67.5">
      <c r="B102" s="195" t="s">
        <v>382</v>
      </c>
      <c r="C102" s="168" t="s">
        <v>570</v>
      </c>
      <c r="D102" s="195" t="s">
        <v>374</v>
      </c>
      <c r="E102" s="379">
        <v>43</v>
      </c>
      <c r="F102" s="413">
        <f>91945.8/1000</f>
        <v>91.945800000000006</v>
      </c>
      <c r="G102" s="413">
        <f>83140.96/1000</f>
        <v>83.140960000000007</v>
      </c>
      <c r="H102" s="413">
        <f>99282.23/1000</f>
        <v>99.282229999999998</v>
      </c>
    </row>
    <row r="103" spans="2:25" ht="16.5">
      <c r="B103" s="195" t="s">
        <v>571</v>
      </c>
      <c r="C103" s="168" t="s">
        <v>572</v>
      </c>
      <c r="D103" s="195" t="s">
        <v>357</v>
      </c>
      <c r="E103" s="414">
        <v>0.76</v>
      </c>
      <c r="F103" s="414">
        <v>0.79</v>
      </c>
      <c r="G103" s="415">
        <v>0.74</v>
      </c>
      <c r="H103" s="415">
        <v>0.67</v>
      </c>
    </row>
    <row r="104" spans="2:25" ht="16.5">
      <c r="B104" s="195" t="s">
        <v>573</v>
      </c>
      <c r="C104" s="168" t="s">
        <v>574</v>
      </c>
      <c r="D104" s="195" t="s">
        <v>357</v>
      </c>
      <c r="E104" s="414"/>
      <c r="F104" s="414"/>
      <c r="G104" s="415"/>
      <c r="H104" s="415"/>
    </row>
    <row r="105" spans="2:25">
      <c r="B105" s="195" t="s">
        <v>385</v>
      </c>
      <c r="C105" s="168" t="s">
        <v>575</v>
      </c>
      <c r="D105" s="195" t="s">
        <v>357</v>
      </c>
      <c r="E105" s="414"/>
      <c r="F105" s="414"/>
      <c r="G105" s="415"/>
      <c r="H105" s="415"/>
    </row>
    <row r="106" spans="2:25">
      <c r="B106" s="1359"/>
      <c r="C106" s="1359"/>
      <c r="D106" s="1359"/>
      <c r="E106" s="1359"/>
      <c r="F106" s="1359"/>
      <c r="G106" s="1359"/>
      <c r="H106" s="58"/>
    </row>
    <row r="107" spans="2:25" ht="24.5">
      <c r="B107" s="47" t="s">
        <v>576</v>
      </c>
      <c r="C107" s="27"/>
      <c r="D107" s="28"/>
      <c r="E107" s="28"/>
      <c r="F107" s="28"/>
      <c r="G107" s="1357"/>
      <c r="H107" s="1357"/>
      <c r="I107" s="1357"/>
      <c r="J107" s="1374"/>
      <c r="K107" s="1374"/>
      <c r="L107" s="1374"/>
      <c r="M107" s="1374"/>
      <c r="N107" s="1374"/>
      <c r="O107" s="1374"/>
    </row>
    <row r="108" spans="2:25">
      <c r="B108" s="17"/>
      <c r="C108" s="17"/>
      <c r="D108" s="17"/>
      <c r="E108" s="17"/>
      <c r="F108" s="17"/>
      <c r="G108" s="44"/>
      <c r="H108" s="44"/>
      <c r="I108" s="44"/>
      <c r="J108" s="46"/>
      <c r="K108" s="46"/>
      <c r="L108" s="46"/>
      <c r="M108" s="20"/>
      <c r="N108" s="20"/>
      <c r="O108" s="20"/>
      <c r="P108" s="20"/>
      <c r="Q108" s="20"/>
      <c r="R108" s="20"/>
      <c r="S108" s="20"/>
      <c r="T108" s="20"/>
      <c r="U108" s="20"/>
      <c r="V108" s="20"/>
      <c r="W108" s="20"/>
      <c r="X108" s="20"/>
    </row>
    <row r="109" spans="2:25" ht="19.5">
      <c r="B109" s="256" t="s">
        <v>577</v>
      </c>
      <c r="C109" s="254" t="s">
        <v>443</v>
      </c>
      <c r="D109" s="267"/>
      <c r="E109" s="1365" t="s">
        <v>427</v>
      </c>
      <c r="F109" s="1366"/>
      <c r="G109" s="1367"/>
      <c r="H109" s="1368" t="s">
        <v>412</v>
      </c>
      <c r="I109" s="1369"/>
      <c r="J109" s="1370"/>
      <c r="K109" s="1368" t="s">
        <v>406</v>
      </c>
      <c r="L109" s="1369"/>
      <c r="M109" s="1370"/>
      <c r="N109" s="258" t="s">
        <v>409</v>
      </c>
      <c r="O109" s="20"/>
      <c r="P109" s="20"/>
      <c r="Q109" s="20"/>
      <c r="R109" s="20"/>
      <c r="S109" s="20"/>
      <c r="T109" s="20"/>
      <c r="U109" s="20"/>
      <c r="V109" s="20"/>
      <c r="W109" s="20"/>
      <c r="X109" s="20"/>
      <c r="Y109" s="20"/>
    </row>
    <row r="110" spans="2:25" ht="27">
      <c r="B110" s="206"/>
      <c r="C110" s="216"/>
      <c r="D110" s="217"/>
      <c r="E110" s="261" t="s">
        <v>428</v>
      </c>
      <c r="F110" s="261" t="s">
        <v>429</v>
      </c>
      <c r="G110" s="261" t="s">
        <v>430</v>
      </c>
      <c r="H110" s="215" t="s">
        <v>428</v>
      </c>
      <c r="I110" s="215" t="s">
        <v>429</v>
      </c>
      <c r="J110" s="218" t="s">
        <v>430</v>
      </c>
      <c r="K110" s="215" t="s">
        <v>428</v>
      </c>
      <c r="L110" s="215" t="s">
        <v>429</v>
      </c>
      <c r="M110" s="218" t="s">
        <v>430</v>
      </c>
      <c r="N110" s="215" t="s">
        <v>428</v>
      </c>
      <c r="O110" s="20"/>
      <c r="P110" s="20"/>
      <c r="Q110" s="20"/>
      <c r="R110" s="20"/>
      <c r="S110" s="20"/>
      <c r="T110" s="20"/>
      <c r="U110" s="20"/>
      <c r="V110" s="20"/>
      <c r="W110" s="20"/>
      <c r="X110" s="20"/>
      <c r="Y110" s="20"/>
    </row>
    <row r="111" spans="2:25" ht="81">
      <c r="B111" s="217" t="s">
        <v>359</v>
      </c>
      <c r="C111" s="219" t="s">
        <v>578</v>
      </c>
      <c r="D111" s="220" t="s">
        <v>360</v>
      </c>
      <c r="E111" s="262">
        <f>E127/1000</f>
        <v>1205779.031</v>
      </c>
      <c r="F111" s="262">
        <f>F127/1000</f>
        <v>337642.93099999998</v>
      </c>
      <c r="G111" s="262">
        <f>G127/1000</f>
        <v>868136.1</v>
      </c>
      <c r="H111" s="419">
        <v>1384245</v>
      </c>
      <c r="I111" s="419">
        <v>418784</v>
      </c>
      <c r="J111" s="419">
        <v>965461</v>
      </c>
      <c r="K111" s="419">
        <v>1307373</v>
      </c>
      <c r="L111" s="419">
        <v>426755</v>
      </c>
      <c r="M111" s="419">
        <v>880618</v>
      </c>
      <c r="N111" s="419">
        <v>1350655</v>
      </c>
      <c r="O111" s="20"/>
      <c r="P111" s="20"/>
      <c r="Q111" s="59"/>
      <c r="R111" s="20"/>
      <c r="S111" s="20"/>
      <c r="T111" s="20"/>
      <c r="U111" s="20"/>
      <c r="V111" s="20"/>
      <c r="W111" s="20"/>
      <c r="X111" s="20"/>
      <c r="Y111" s="20"/>
    </row>
    <row r="112" spans="2:25" ht="27">
      <c r="B112" s="217" t="s">
        <v>579</v>
      </c>
      <c r="C112" s="219" t="s">
        <v>580</v>
      </c>
      <c r="D112" s="222" t="s">
        <v>581</v>
      </c>
      <c r="E112" s="263">
        <v>11.1</v>
      </c>
      <c r="F112" s="264">
        <v>74.099999999999994</v>
      </c>
      <c r="G112" s="264">
        <v>8.3000000000000007</v>
      </c>
      <c r="H112" s="223">
        <v>12.1</v>
      </c>
      <c r="I112" s="223">
        <v>78.7</v>
      </c>
      <c r="J112" s="223">
        <v>8.8000000000000007</v>
      </c>
      <c r="K112" s="223">
        <v>11.5</v>
      </c>
      <c r="L112" s="223">
        <v>43.5</v>
      </c>
      <c r="M112" s="223">
        <v>8.5</v>
      </c>
      <c r="N112" s="223">
        <v>10.99</v>
      </c>
      <c r="O112" s="20"/>
      <c r="P112" s="20"/>
      <c r="Q112" s="59"/>
      <c r="R112" s="20"/>
      <c r="S112" s="20"/>
      <c r="T112" s="20"/>
      <c r="U112" s="20"/>
      <c r="V112" s="20"/>
      <c r="W112" s="20"/>
      <c r="X112" s="20"/>
      <c r="Y112" s="20"/>
    </row>
    <row r="113" spans="2:25">
      <c r="B113" s="17"/>
      <c r="C113" s="17"/>
      <c r="D113" s="17"/>
      <c r="E113" s="17"/>
      <c r="F113" s="17"/>
      <c r="G113" s="17"/>
      <c r="H113" s="44"/>
      <c r="I113" s="44"/>
      <c r="J113" s="44"/>
      <c r="K113" s="46"/>
      <c r="L113" s="46"/>
      <c r="M113" s="46"/>
      <c r="N113" s="20"/>
      <c r="O113" s="20"/>
      <c r="P113" s="20"/>
      <c r="Q113" s="20"/>
      <c r="R113" s="20"/>
      <c r="S113" s="20"/>
      <c r="T113" s="20"/>
      <c r="U113" s="20"/>
      <c r="V113" s="20"/>
      <c r="W113" s="20"/>
      <c r="X113" s="20"/>
      <c r="Y113" s="20"/>
    </row>
    <row r="114" spans="2:25">
      <c r="B114" s="17"/>
      <c r="C114" s="17"/>
      <c r="D114" s="17"/>
      <c r="E114" s="17"/>
      <c r="F114" s="17"/>
      <c r="G114" s="17"/>
      <c r="H114" s="44"/>
      <c r="I114" s="44"/>
      <c r="J114" s="44"/>
      <c r="K114" s="46"/>
      <c r="L114" s="46"/>
      <c r="M114" s="46"/>
      <c r="N114" s="20"/>
      <c r="O114" s="20"/>
      <c r="P114" s="20"/>
      <c r="Q114" s="20"/>
      <c r="R114" s="20"/>
      <c r="S114" s="20"/>
      <c r="T114" s="20"/>
      <c r="U114" s="20"/>
      <c r="V114" s="20"/>
      <c r="W114" s="20"/>
      <c r="X114" s="20"/>
      <c r="Y114" s="20"/>
    </row>
    <row r="115" spans="2:25" ht="29.15" customHeight="1">
      <c r="B115" s="257" t="s">
        <v>582</v>
      </c>
      <c r="C115" s="254" t="s">
        <v>443</v>
      </c>
      <c r="D115" s="267"/>
      <c r="E115" s="1365" t="s">
        <v>583</v>
      </c>
      <c r="F115" s="1366"/>
      <c r="G115" s="1367"/>
      <c r="H115" s="1368" t="s">
        <v>584</v>
      </c>
      <c r="I115" s="1369"/>
      <c r="J115" s="1370"/>
      <c r="K115" s="1371" t="s">
        <v>585</v>
      </c>
      <c r="L115" s="1371"/>
      <c r="M115" s="1371"/>
      <c r="N115" s="258" t="s">
        <v>586</v>
      </c>
      <c r="O115" s="20"/>
      <c r="P115" s="20"/>
      <c r="Q115" s="20"/>
      <c r="R115" s="20"/>
      <c r="S115" s="20"/>
      <c r="T115" s="20"/>
      <c r="U115" s="20"/>
      <c r="V115" s="20"/>
      <c r="W115" s="20"/>
      <c r="X115" s="20"/>
    </row>
    <row r="116" spans="2:25" ht="30" customHeight="1">
      <c r="B116" s="224"/>
      <c r="C116" s="224"/>
      <c r="D116" s="224"/>
      <c r="E116" s="259" t="s">
        <v>428</v>
      </c>
      <c r="F116" s="259" t="s">
        <v>429</v>
      </c>
      <c r="G116" s="259" t="s">
        <v>430</v>
      </c>
      <c r="H116" s="225" t="s">
        <v>428</v>
      </c>
      <c r="I116" s="225" t="s">
        <v>429</v>
      </c>
      <c r="J116" s="226" t="s">
        <v>430</v>
      </c>
      <c r="K116" s="225" t="s">
        <v>428</v>
      </c>
      <c r="L116" s="225" t="s">
        <v>429</v>
      </c>
      <c r="M116" s="226" t="s">
        <v>430</v>
      </c>
      <c r="N116" s="225" t="s">
        <v>428</v>
      </c>
      <c r="O116" s="20"/>
      <c r="P116" s="20"/>
      <c r="Q116" s="20"/>
      <c r="R116" s="20"/>
      <c r="S116" s="20"/>
      <c r="T116" s="20"/>
      <c r="U116" s="20"/>
      <c r="V116" s="20"/>
      <c r="W116" s="20"/>
      <c r="X116" s="20"/>
    </row>
    <row r="117" spans="2:25" ht="81">
      <c r="B117" s="195" t="s">
        <v>587</v>
      </c>
      <c r="C117" s="168" t="s">
        <v>588</v>
      </c>
      <c r="D117" s="195" t="s">
        <v>589</v>
      </c>
      <c r="E117" s="260">
        <f t="shared" ref="E117:F125" si="9">E127*0.0036</f>
        <v>4340804.5115999999</v>
      </c>
      <c r="F117" s="260">
        <f t="shared" si="9"/>
        <v>1215514.5515999999</v>
      </c>
      <c r="G117" s="260">
        <f t="shared" ref="G117:G125" si="10">E117-F117</f>
        <v>3125289.96</v>
      </c>
      <c r="H117" s="227">
        <f t="shared" ref="H117:H125" si="11">H127*0.0036</f>
        <v>4983282.1332</v>
      </c>
      <c r="I117" s="227">
        <f t="shared" ref="I117:I125" si="12">I127*0.0036</f>
        <v>1507622.094</v>
      </c>
      <c r="J117" s="227">
        <f t="shared" ref="J117:J125" si="13">H117-I117</f>
        <v>3475660.0392</v>
      </c>
      <c r="K117" s="227">
        <f t="shared" ref="K117:K125" si="14">K127*0.0036</f>
        <v>4706542.6343999999</v>
      </c>
      <c r="L117" s="227">
        <f t="shared" ref="L117:L125" si="15">L127*0.0036</f>
        <v>1536318.7667999999</v>
      </c>
      <c r="M117" s="227">
        <f t="shared" ref="M117:M125" si="16">K117-L117</f>
        <v>3170223.8676</v>
      </c>
      <c r="N117" s="227">
        <f t="shared" ref="N117:N123" si="17">N127*0.0036</f>
        <v>4862357.9172</v>
      </c>
      <c r="O117" s="20"/>
      <c r="P117" s="20"/>
      <c r="Q117" s="20"/>
      <c r="R117" s="20"/>
      <c r="S117" s="20"/>
      <c r="T117" s="20"/>
      <c r="U117" s="20"/>
      <c r="V117" s="20"/>
      <c r="W117" s="20"/>
      <c r="X117" s="20"/>
    </row>
    <row r="118" spans="2:25" ht="108">
      <c r="B118" s="195" t="s">
        <v>590</v>
      </c>
      <c r="C118" s="168" t="s">
        <v>591</v>
      </c>
      <c r="D118" s="195" t="s">
        <v>589</v>
      </c>
      <c r="E118" s="260">
        <f t="shared" si="9"/>
        <v>1771360.9812</v>
      </c>
      <c r="F118" s="260">
        <f t="shared" si="9"/>
        <v>470572.53119999997</v>
      </c>
      <c r="G118" s="260">
        <f t="shared" si="10"/>
        <v>1300788.4500000002</v>
      </c>
      <c r="H118" s="227">
        <f t="shared" si="11"/>
        <v>2060743.8636</v>
      </c>
      <c r="I118" s="227">
        <f t="shared" si="12"/>
        <v>566103.402</v>
      </c>
      <c r="J118" s="227">
        <f t="shared" si="13"/>
        <v>1494640.4616</v>
      </c>
      <c r="K118" s="227">
        <f t="shared" si="14"/>
        <v>1975839.2279999999</v>
      </c>
      <c r="L118" s="227">
        <f t="shared" si="15"/>
        <v>602479.63079999993</v>
      </c>
      <c r="M118" s="227">
        <f t="shared" si="16"/>
        <v>1373359.5972</v>
      </c>
      <c r="N118" s="227">
        <f t="shared" si="17"/>
        <v>2087618.2523999999</v>
      </c>
      <c r="O118" s="20"/>
      <c r="P118" s="20"/>
      <c r="Q118" s="20"/>
      <c r="R118" s="20"/>
      <c r="S118" s="20"/>
      <c r="T118" s="20"/>
      <c r="U118" s="20"/>
      <c r="V118" s="20"/>
      <c r="W118" s="20"/>
      <c r="X118" s="20"/>
    </row>
    <row r="119" spans="2:25" ht="67.5">
      <c r="B119" s="195" t="s">
        <v>592</v>
      </c>
      <c r="C119" s="168" t="s">
        <v>593</v>
      </c>
      <c r="D119" s="195" t="s">
        <v>589</v>
      </c>
      <c r="E119" s="260">
        <f t="shared" si="9"/>
        <v>2274979.23</v>
      </c>
      <c r="F119" s="260">
        <f t="shared" si="9"/>
        <v>779210.66879999998</v>
      </c>
      <c r="G119" s="260">
        <f t="shared" si="10"/>
        <v>1495768.5611999999</v>
      </c>
      <c r="H119" s="227">
        <f t="shared" si="11"/>
        <v>2554494.534</v>
      </c>
      <c r="I119" s="227">
        <f t="shared" si="12"/>
        <v>941695.53839999996</v>
      </c>
      <c r="J119" s="227">
        <f t="shared" si="13"/>
        <v>1612798.9956</v>
      </c>
      <c r="K119" s="227">
        <f t="shared" si="14"/>
        <v>2416909.4424000001</v>
      </c>
      <c r="L119" s="227">
        <f t="shared" si="15"/>
        <v>967772.29680000001</v>
      </c>
      <c r="M119" s="227">
        <f t="shared" si="16"/>
        <v>1449137.1455999999</v>
      </c>
      <c r="N119" s="227">
        <f t="shared" si="17"/>
        <v>2466585.6444000001</v>
      </c>
      <c r="O119" s="20"/>
      <c r="P119" s="20"/>
      <c r="Q119" s="20"/>
      <c r="R119" s="20"/>
      <c r="S119" s="20"/>
      <c r="T119" s="20"/>
      <c r="U119" s="20"/>
      <c r="V119" s="20"/>
      <c r="W119" s="20"/>
      <c r="X119" s="20"/>
    </row>
    <row r="120" spans="2:25" ht="121.5">
      <c r="B120" s="195" t="s">
        <v>594</v>
      </c>
      <c r="C120" s="168" t="s">
        <v>595</v>
      </c>
      <c r="D120" s="195" t="s">
        <v>589</v>
      </c>
      <c r="E120" s="260">
        <f t="shared" si="9"/>
        <v>3619825.6716</v>
      </c>
      <c r="F120" s="260">
        <f t="shared" si="9"/>
        <v>852168.6</v>
      </c>
      <c r="G120" s="260">
        <f t="shared" si="10"/>
        <v>2767657.0715999999</v>
      </c>
      <c r="H120" s="227">
        <f t="shared" si="11"/>
        <v>4313935.2456</v>
      </c>
      <c r="I120" s="227">
        <f t="shared" si="12"/>
        <v>1050297.138</v>
      </c>
      <c r="J120" s="227">
        <f t="shared" si="13"/>
        <v>3263638.1075999998</v>
      </c>
      <c r="K120" s="227">
        <f t="shared" si="14"/>
        <v>4129525.1088</v>
      </c>
      <c r="L120" s="227">
        <f t="shared" si="15"/>
        <v>1058810.4324</v>
      </c>
      <c r="M120" s="227">
        <f t="shared" si="16"/>
        <v>3070714.6764000002</v>
      </c>
      <c r="N120" s="227">
        <f t="shared" si="17"/>
        <v>4315058.2259999998</v>
      </c>
      <c r="O120" s="20"/>
      <c r="P120" s="20"/>
      <c r="Q120" s="20"/>
      <c r="R120" s="20"/>
      <c r="S120" s="20"/>
      <c r="T120" s="20"/>
      <c r="U120" s="20"/>
      <c r="V120" s="20"/>
      <c r="W120" s="20"/>
      <c r="X120" s="20"/>
    </row>
    <row r="121" spans="2:25" ht="54">
      <c r="B121" s="329" t="s">
        <v>596</v>
      </c>
      <c r="C121" s="168" t="s">
        <v>597</v>
      </c>
      <c r="D121" s="195" t="s">
        <v>589</v>
      </c>
      <c r="E121" s="260">
        <f t="shared" si="9"/>
        <v>2520972.4284000001</v>
      </c>
      <c r="F121" s="260">
        <f t="shared" si="9"/>
        <v>802567.61639999994</v>
      </c>
      <c r="G121" s="260">
        <f t="shared" si="10"/>
        <v>1718404.8120000002</v>
      </c>
      <c r="H121" s="227">
        <f t="shared" si="11"/>
        <v>2891001.9276000001</v>
      </c>
      <c r="I121" s="227">
        <f t="shared" si="12"/>
        <v>998092.39319999993</v>
      </c>
      <c r="J121" s="227">
        <f t="shared" si="13"/>
        <v>1892909.5344000002</v>
      </c>
      <c r="K121" s="227">
        <f t="shared" si="14"/>
        <v>2729961.54</v>
      </c>
      <c r="L121" s="227">
        <f t="shared" si="15"/>
        <v>1008473.2992</v>
      </c>
      <c r="M121" s="227">
        <f t="shared" si="16"/>
        <v>1721488.2408</v>
      </c>
      <c r="N121" s="227">
        <f t="shared" si="17"/>
        <v>2763835.4556</v>
      </c>
      <c r="O121" s="20"/>
      <c r="P121" s="20"/>
      <c r="Q121" s="20"/>
      <c r="R121" s="20"/>
      <c r="S121" s="20"/>
      <c r="T121" s="20"/>
      <c r="U121" s="20"/>
      <c r="V121" s="20"/>
      <c r="W121" s="20"/>
      <c r="X121" s="20"/>
    </row>
    <row r="122" spans="2:25" ht="40.5">
      <c r="B122" s="329" t="s">
        <v>598</v>
      </c>
      <c r="C122" s="168" t="s">
        <v>599</v>
      </c>
      <c r="D122" s="195" t="s">
        <v>589</v>
      </c>
      <c r="E122" s="260">
        <f t="shared" si="9"/>
        <v>952567.53480000002</v>
      </c>
      <c r="F122" s="260">
        <f t="shared" si="9"/>
        <v>24137.351999999999</v>
      </c>
      <c r="G122" s="260">
        <f t="shared" si="10"/>
        <v>928430.18280000007</v>
      </c>
      <c r="H122" s="227">
        <f t="shared" si="11"/>
        <v>1271821.446</v>
      </c>
      <c r="I122" s="227">
        <f t="shared" si="12"/>
        <v>22613.835599999999</v>
      </c>
      <c r="J122" s="227">
        <f t="shared" si="13"/>
        <v>1249207.6103999999</v>
      </c>
      <c r="K122" s="227">
        <f t="shared" si="14"/>
        <v>1271987.3484</v>
      </c>
      <c r="L122" s="227">
        <f t="shared" si="15"/>
        <v>27600.84</v>
      </c>
      <c r="M122" s="227">
        <f t="shared" si="16"/>
        <v>1244386.5083999999</v>
      </c>
      <c r="N122" s="227">
        <f t="shared" si="17"/>
        <v>1430977.05</v>
      </c>
      <c r="O122" s="20"/>
      <c r="P122" s="20"/>
      <c r="Q122" s="20"/>
      <c r="R122" s="20"/>
      <c r="S122" s="20"/>
      <c r="T122" s="20"/>
      <c r="U122" s="20"/>
      <c r="V122" s="20"/>
      <c r="W122" s="20"/>
      <c r="X122" s="20"/>
    </row>
    <row r="123" spans="2:25" ht="54">
      <c r="B123" s="330" t="s">
        <v>600</v>
      </c>
      <c r="C123" s="168" t="s">
        <v>601</v>
      </c>
      <c r="D123" s="195" t="s">
        <v>589</v>
      </c>
      <c r="E123" s="260">
        <f t="shared" si="9"/>
        <v>128724.8796</v>
      </c>
      <c r="F123" s="260">
        <f t="shared" si="9"/>
        <v>19250.449199999999</v>
      </c>
      <c r="G123" s="260">
        <f t="shared" si="10"/>
        <v>109474.4304</v>
      </c>
      <c r="H123" s="227">
        <f t="shared" si="11"/>
        <v>114283.75319999999</v>
      </c>
      <c r="I123" s="227">
        <f t="shared" si="12"/>
        <v>14826.406679999998</v>
      </c>
      <c r="J123" s="227">
        <f t="shared" si="13"/>
        <v>99457.346519999992</v>
      </c>
      <c r="K123" s="227">
        <f t="shared" si="14"/>
        <v>112445.03879999999</v>
      </c>
      <c r="L123" s="227">
        <f t="shared" si="15"/>
        <v>21111.778728000001</v>
      </c>
      <c r="M123" s="227">
        <f t="shared" si="16"/>
        <v>91333.26007199999</v>
      </c>
      <c r="N123" s="227">
        <f t="shared" si="17"/>
        <v>120245.72039999999</v>
      </c>
      <c r="O123" s="20"/>
      <c r="P123" s="20"/>
      <c r="Q123" s="20"/>
      <c r="R123" s="20"/>
      <c r="S123" s="20"/>
      <c r="T123" s="20"/>
      <c r="U123" s="20"/>
      <c r="V123" s="20"/>
      <c r="W123" s="20"/>
      <c r="X123" s="20"/>
    </row>
    <row r="124" spans="2:25" ht="27">
      <c r="B124" s="330" t="s">
        <v>602</v>
      </c>
      <c r="C124" s="168" t="s">
        <v>603</v>
      </c>
      <c r="D124" s="195" t="s">
        <v>589</v>
      </c>
      <c r="E124" s="260">
        <f t="shared" si="9"/>
        <v>17560.832399999999</v>
      </c>
      <c r="F124" s="260">
        <f t="shared" si="9"/>
        <v>6213.1823999999997</v>
      </c>
      <c r="G124" s="260">
        <f>E124-F124</f>
        <v>11347.65</v>
      </c>
      <c r="H124" s="227">
        <f t="shared" si="11"/>
        <v>36828.118799999997</v>
      </c>
      <c r="I124" s="227">
        <f t="shared" si="12"/>
        <v>14764.5</v>
      </c>
      <c r="J124" s="227">
        <f>H124-I124</f>
        <v>22063.618799999997</v>
      </c>
      <c r="K124" s="227">
        <f t="shared" si="14"/>
        <v>15131.1852</v>
      </c>
      <c r="L124" s="227">
        <f t="shared" si="15"/>
        <v>1624.5108</v>
      </c>
      <c r="M124" s="227">
        <f>K124-L124</f>
        <v>13506.6744</v>
      </c>
      <c r="N124" s="227" t="s">
        <v>604</v>
      </c>
      <c r="O124" s="20"/>
      <c r="P124" s="20"/>
      <c r="Q124" s="20"/>
      <c r="R124" s="20"/>
      <c r="S124" s="20"/>
      <c r="T124" s="20"/>
      <c r="U124" s="20"/>
      <c r="V124" s="20"/>
      <c r="W124" s="20"/>
      <c r="X124" s="20"/>
    </row>
    <row r="125" spans="2:25" ht="40.5">
      <c r="B125" s="228" t="s">
        <v>605</v>
      </c>
      <c r="C125" s="167" t="s">
        <v>606</v>
      </c>
      <c r="D125" s="195" t="s">
        <v>589</v>
      </c>
      <c r="E125" s="260">
        <f t="shared" si="9"/>
        <v>720978.84</v>
      </c>
      <c r="F125" s="260">
        <f t="shared" si="9"/>
        <v>363345.95159999997</v>
      </c>
      <c r="G125" s="260">
        <f t="shared" si="10"/>
        <v>357632.8884</v>
      </c>
      <c r="H125" s="227">
        <f t="shared" si="11"/>
        <v>669346.88760000002</v>
      </c>
      <c r="I125" s="227">
        <f t="shared" si="12"/>
        <v>457324.95600000001</v>
      </c>
      <c r="J125" s="227">
        <f t="shared" si="13"/>
        <v>212021.93160000001</v>
      </c>
      <c r="K125" s="227">
        <f t="shared" si="14"/>
        <v>577017.52559999994</v>
      </c>
      <c r="L125" s="227">
        <f t="shared" si="15"/>
        <v>477508.33439999999</v>
      </c>
      <c r="M125" s="227">
        <f t="shared" si="16"/>
        <v>99509.191199999943</v>
      </c>
      <c r="N125" s="227">
        <f>N135*0.0036</f>
        <v>547299.68759999995</v>
      </c>
      <c r="O125" s="20"/>
      <c r="P125" s="20"/>
      <c r="Q125" s="20"/>
      <c r="R125" s="20"/>
      <c r="S125" s="20"/>
      <c r="T125" s="20"/>
      <c r="U125" s="20"/>
      <c r="V125" s="20"/>
      <c r="W125" s="20"/>
      <c r="X125" s="20"/>
    </row>
    <row r="127" spans="2:25" ht="81">
      <c r="B127" s="195" t="s">
        <v>587</v>
      </c>
      <c r="C127" s="168" t="s">
        <v>607</v>
      </c>
      <c r="D127" s="195" t="s">
        <v>362</v>
      </c>
      <c r="E127" s="260">
        <v>1205779031</v>
      </c>
      <c r="F127" s="260">
        <v>337642931</v>
      </c>
      <c r="G127" s="260">
        <f t="shared" ref="G127:G135" si="18">E127-F127</f>
        <v>868136100</v>
      </c>
      <c r="H127" s="227">
        <v>1384245037</v>
      </c>
      <c r="I127" s="227">
        <v>418783915</v>
      </c>
      <c r="J127" s="227">
        <f t="shared" ref="J127:J135" si="19">H127-I127</f>
        <v>965461122</v>
      </c>
      <c r="K127" s="213">
        <v>1307372954</v>
      </c>
      <c r="L127" s="227">
        <v>426755213</v>
      </c>
      <c r="M127" s="227">
        <f t="shared" ref="M127:M135" si="20">K127-L127</f>
        <v>880617741</v>
      </c>
      <c r="N127" s="213">
        <v>1350654977</v>
      </c>
      <c r="O127" s="20"/>
      <c r="P127" s="20"/>
      <c r="Q127" s="20"/>
      <c r="R127" s="20"/>
      <c r="S127" s="20"/>
      <c r="T127" s="20"/>
      <c r="U127" s="20"/>
      <c r="V127" s="20"/>
      <c r="W127" s="20"/>
      <c r="X127" s="20"/>
    </row>
    <row r="128" spans="2:25" ht="108">
      <c r="B128" s="195" t="s">
        <v>590</v>
      </c>
      <c r="C128" s="168" t="s">
        <v>608</v>
      </c>
      <c r="D128" s="195" t="s">
        <v>362</v>
      </c>
      <c r="E128" s="260">
        <v>492044717</v>
      </c>
      <c r="F128" s="260">
        <v>130714592</v>
      </c>
      <c r="G128" s="260">
        <f t="shared" si="18"/>
        <v>361330125</v>
      </c>
      <c r="H128" s="227">
        <v>572428851</v>
      </c>
      <c r="I128" s="227">
        <v>157250945</v>
      </c>
      <c r="J128" s="227">
        <f t="shared" si="19"/>
        <v>415177906</v>
      </c>
      <c r="K128" s="213">
        <v>548844230</v>
      </c>
      <c r="L128" s="227">
        <v>167355453</v>
      </c>
      <c r="M128" s="227">
        <f t="shared" si="20"/>
        <v>381488777</v>
      </c>
      <c r="N128" s="213">
        <v>579893959</v>
      </c>
      <c r="O128" s="20"/>
      <c r="P128" s="20"/>
      <c r="Q128" s="20"/>
      <c r="R128" s="20"/>
      <c r="S128" s="20"/>
      <c r="T128" s="20"/>
      <c r="U128" s="20"/>
      <c r="V128" s="20"/>
      <c r="W128" s="20"/>
      <c r="X128" s="20"/>
    </row>
    <row r="129" spans="2:24" ht="67.5">
      <c r="B129" s="195" t="s">
        <v>592</v>
      </c>
      <c r="C129" s="168" t="s">
        <v>609</v>
      </c>
      <c r="D129" s="195" t="s">
        <v>362</v>
      </c>
      <c r="E129" s="260">
        <v>631938675</v>
      </c>
      <c r="F129" s="260">
        <v>216447408</v>
      </c>
      <c r="G129" s="260">
        <f t="shared" si="18"/>
        <v>415491267</v>
      </c>
      <c r="H129" s="227">
        <v>709581815</v>
      </c>
      <c r="I129" s="227">
        <v>261582094</v>
      </c>
      <c r="J129" s="227">
        <f t="shared" si="19"/>
        <v>447999721</v>
      </c>
      <c r="K129" s="213">
        <v>671363734</v>
      </c>
      <c r="L129" s="227">
        <v>268825638</v>
      </c>
      <c r="M129" s="227">
        <f t="shared" si="20"/>
        <v>402538096</v>
      </c>
      <c r="N129" s="213">
        <v>685162679</v>
      </c>
      <c r="O129" s="20"/>
      <c r="P129" s="20"/>
      <c r="Q129" s="20"/>
      <c r="R129" s="20"/>
      <c r="S129" s="20"/>
      <c r="T129" s="20"/>
      <c r="U129" s="20"/>
      <c r="V129" s="20"/>
      <c r="W129" s="20"/>
      <c r="X129" s="20"/>
    </row>
    <row r="130" spans="2:24" ht="121.5">
      <c r="B130" s="195" t="s">
        <v>594</v>
      </c>
      <c r="C130" s="168" t="s">
        <v>610</v>
      </c>
      <c r="D130" s="195" t="s">
        <v>362</v>
      </c>
      <c r="E130" s="244">
        <v>1005507131</v>
      </c>
      <c r="F130" s="260">
        <v>236713500</v>
      </c>
      <c r="G130" s="260">
        <f t="shared" si="18"/>
        <v>768793631</v>
      </c>
      <c r="H130" s="227">
        <v>1198315346</v>
      </c>
      <c r="I130" s="227">
        <v>291749205</v>
      </c>
      <c r="J130" s="227">
        <f t="shared" si="19"/>
        <v>906566141</v>
      </c>
      <c r="K130" s="213">
        <v>1147090308</v>
      </c>
      <c r="L130" s="227">
        <v>294114009</v>
      </c>
      <c r="M130" s="227">
        <f t="shared" si="20"/>
        <v>852976299</v>
      </c>
      <c r="N130" s="213">
        <v>1198627285</v>
      </c>
      <c r="O130" s="20"/>
      <c r="P130" s="20"/>
      <c r="Q130" s="20"/>
      <c r="R130" s="20"/>
      <c r="S130" s="20"/>
      <c r="T130" s="20"/>
      <c r="U130" s="20"/>
      <c r="V130" s="20"/>
      <c r="W130" s="20"/>
      <c r="X130" s="20"/>
    </row>
    <row r="131" spans="2:24" ht="54">
      <c r="B131" s="329" t="s">
        <v>596</v>
      </c>
      <c r="C131" s="168" t="s">
        <v>597</v>
      </c>
      <c r="D131" s="195" t="s">
        <v>362</v>
      </c>
      <c r="E131" s="260">
        <v>700270119</v>
      </c>
      <c r="F131" s="260">
        <v>222935449</v>
      </c>
      <c r="G131" s="260">
        <f t="shared" si="18"/>
        <v>477334670</v>
      </c>
      <c r="H131" s="227">
        <v>803056091</v>
      </c>
      <c r="I131" s="227">
        <v>277247887</v>
      </c>
      <c r="J131" s="227">
        <f t="shared" si="19"/>
        <v>525808204</v>
      </c>
      <c r="K131" s="213">
        <v>758322650</v>
      </c>
      <c r="L131" s="227">
        <v>280131472</v>
      </c>
      <c r="M131" s="227">
        <f t="shared" si="20"/>
        <v>478191178</v>
      </c>
      <c r="N131" s="213">
        <v>767732071</v>
      </c>
      <c r="O131" s="20"/>
      <c r="P131" s="20"/>
      <c r="Q131" s="20"/>
      <c r="R131" s="20"/>
      <c r="S131" s="20"/>
      <c r="T131" s="20"/>
      <c r="U131" s="20"/>
      <c r="V131" s="20"/>
      <c r="W131" s="20"/>
      <c r="X131" s="20"/>
    </row>
    <row r="132" spans="2:24" ht="40.5">
      <c r="B132" s="329" t="s">
        <v>598</v>
      </c>
      <c r="C132" s="168" t="s">
        <v>611</v>
      </c>
      <c r="D132" s="195" t="s">
        <v>362</v>
      </c>
      <c r="E132" s="260">
        <v>264602093</v>
      </c>
      <c r="F132" s="260">
        <v>6704820</v>
      </c>
      <c r="G132" s="260">
        <f t="shared" si="18"/>
        <v>257897273</v>
      </c>
      <c r="H132" s="227">
        <v>353283735</v>
      </c>
      <c r="I132" s="227">
        <v>6281621</v>
      </c>
      <c r="J132" s="227">
        <f t="shared" si="19"/>
        <v>347002114</v>
      </c>
      <c r="K132" s="213">
        <v>353329819</v>
      </c>
      <c r="L132" s="227">
        <v>7666900</v>
      </c>
      <c r="M132" s="227">
        <f t="shared" si="20"/>
        <v>345662919</v>
      </c>
      <c r="N132" s="213">
        <v>397493625</v>
      </c>
      <c r="O132" s="20"/>
      <c r="P132" s="20"/>
      <c r="Q132" s="20"/>
      <c r="R132" s="20"/>
      <c r="S132" s="20"/>
      <c r="T132" s="20"/>
      <c r="U132" s="20"/>
      <c r="V132" s="20"/>
      <c r="W132" s="20"/>
      <c r="X132" s="20"/>
    </row>
    <row r="133" spans="2:24" ht="54">
      <c r="B133" s="330" t="s">
        <v>600</v>
      </c>
      <c r="C133" s="168" t="s">
        <v>612</v>
      </c>
      <c r="D133" s="195" t="s">
        <v>362</v>
      </c>
      <c r="E133" s="260">
        <v>35756911</v>
      </c>
      <c r="F133" s="260">
        <v>5347347</v>
      </c>
      <c r="G133" s="260">
        <f t="shared" si="18"/>
        <v>30409564</v>
      </c>
      <c r="H133" s="227">
        <v>31745487</v>
      </c>
      <c r="I133" s="227">
        <v>4118446.3</v>
      </c>
      <c r="J133" s="227">
        <f t="shared" si="19"/>
        <v>27627040.699999999</v>
      </c>
      <c r="K133" s="213">
        <v>31234733</v>
      </c>
      <c r="L133" s="227">
        <v>5864382.9800000004</v>
      </c>
      <c r="M133" s="227">
        <f t="shared" si="20"/>
        <v>25370350.02</v>
      </c>
      <c r="N133" s="213">
        <v>33401589</v>
      </c>
      <c r="O133" s="20"/>
      <c r="P133" s="20"/>
      <c r="Q133" s="20"/>
      <c r="R133" s="20"/>
      <c r="S133" s="20"/>
      <c r="T133" s="20"/>
      <c r="U133" s="20"/>
      <c r="V133" s="20"/>
      <c r="W133" s="20"/>
      <c r="X133" s="20"/>
    </row>
    <row r="134" spans="2:24" ht="27">
      <c r="B134" s="330" t="s">
        <v>602</v>
      </c>
      <c r="C134" s="168" t="s">
        <v>603</v>
      </c>
      <c r="D134" s="195" t="s">
        <v>362</v>
      </c>
      <c r="E134" s="260">
        <v>4878009</v>
      </c>
      <c r="F134" s="260">
        <v>1725884</v>
      </c>
      <c r="G134" s="260">
        <f t="shared" si="18"/>
        <v>3152125</v>
      </c>
      <c r="H134" s="227">
        <v>10230033</v>
      </c>
      <c r="I134" s="227">
        <v>4101250</v>
      </c>
      <c r="J134" s="227">
        <f t="shared" si="19"/>
        <v>6128783</v>
      </c>
      <c r="K134" s="213">
        <v>4203107</v>
      </c>
      <c r="L134" s="227">
        <v>451253</v>
      </c>
      <c r="M134" s="227">
        <f t="shared" si="20"/>
        <v>3751854</v>
      </c>
      <c r="N134" s="331" t="s">
        <v>604</v>
      </c>
      <c r="O134" s="20"/>
      <c r="P134" s="20"/>
      <c r="Q134" s="20"/>
      <c r="R134" s="20"/>
      <c r="S134" s="20"/>
      <c r="T134" s="20"/>
      <c r="U134" s="20"/>
      <c r="V134" s="20"/>
      <c r="W134" s="20"/>
      <c r="X134" s="20"/>
    </row>
    <row r="135" spans="2:24" ht="40.5">
      <c r="B135" s="228" t="s">
        <v>605</v>
      </c>
      <c r="C135" s="168" t="s">
        <v>606</v>
      </c>
      <c r="D135" s="195" t="s">
        <v>362</v>
      </c>
      <c r="E135" s="260">
        <v>200271900</v>
      </c>
      <c r="F135" s="260">
        <v>100929431</v>
      </c>
      <c r="G135" s="260">
        <f t="shared" si="18"/>
        <v>99342469</v>
      </c>
      <c r="H135" s="227">
        <v>185929691</v>
      </c>
      <c r="I135" s="227">
        <v>127034710</v>
      </c>
      <c r="J135" s="227">
        <f t="shared" si="19"/>
        <v>58894981</v>
      </c>
      <c r="K135" s="213">
        <v>160282646</v>
      </c>
      <c r="L135" s="227">
        <v>132641204</v>
      </c>
      <c r="M135" s="227">
        <f t="shared" si="20"/>
        <v>27641442</v>
      </c>
      <c r="N135" s="213">
        <v>152027691</v>
      </c>
      <c r="O135" s="20"/>
      <c r="P135" s="20"/>
      <c r="Q135" s="20"/>
      <c r="R135" s="20"/>
      <c r="S135" s="20"/>
      <c r="T135" s="20"/>
      <c r="U135" s="20"/>
      <c r="V135" s="20"/>
      <c r="W135" s="20"/>
      <c r="X135" s="20"/>
    </row>
    <row r="136" spans="2:24">
      <c r="B136" s="64"/>
      <c r="C136" s="98"/>
      <c r="D136" s="64"/>
      <c r="E136" s="64"/>
      <c r="F136" s="64"/>
      <c r="G136" s="64"/>
      <c r="H136" s="64"/>
      <c r="I136" s="64"/>
      <c r="J136" s="64"/>
      <c r="K136" s="64"/>
      <c r="L136" s="64"/>
      <c r="M136" s="64"/>
      <c r="N136" s="64"/>
    </row>
    <row r="137" spans="2:24" ht="54">
      <c r="B137" s="228" t="s">
        <v>364</v>
      </c>
      <c r="C137" s="167" t="s">
        <v>613</v>
      </c>
      <c r="D137" s="195" t="s">
        <v>614</v>
      </c>
      <c r="E137" s="265">
        <f>E135/E128</f>
        <v>0.40701971402326836</v>
      </c>
      <c r="F137" s="265">
        <f>F135/F128</f>
        <v>0.77213591425202166</v>
      </c>
      <c r="G137" s="265">
        <f>G135/G128</f>
        <v>0.27493547348148734</v>
      </c>
      <c r="H137" s="229">
        <v>0.32500000000000001</v>
      </c>
      <c r="I137" s="229">
        <f>I135/I128</f>
        <v>0.80784703710365624</v>
      </c>
      <c r="J137" s="229">
        <f>J135/J128</f>
        <v>0.14185480525064356</v>
      </c>
      <c r="K137" s="229">
        <v>0.29199999999999998</v>
      </c>
      <c r="L137" s="229">
        <f>L135/L128</f>
        <v>0.79257174846881151</v>
      </c>
      <c r="M137" s="229">
        <f>M135/M128</f>
        <v>7.245676325623597E-2</v>
      </c>
      <c r="N137" s="229">
        <v>0.26200000000000001</v>
      </c>
      <c r="O137" s="20"/>
      <c r="P137" s="20"/>
      <c r="Q137" s="20"/>
      <c r="R137" s="20"/>
      <c r="S137" s="20"/>
      <c r="T137" s="20"/>
      <c r="U137" s="20"/>
      <c r="V137" s="20"/>
      <c r="W137" s="20"/>
      <c r="X137" s="20"/>
    </row>
    <row r="139" spans="2:24">
      <c r="B139" s="45"/>
      <c r="C139" s="17"/>
      <c r="D139" s="17"/>
      <c r="E139" s="397"/>
      <c r="F139" s="17"/>
      <c r="G139" s="44"/>
      <c r="H139" s="44"/>
      <c r="I139" s="44"/>
      <c r="J139" s="46"/>
      <c r="K139" s="46"/>
      <c r="L139" s="46"/>
      <c r="M139" s="20"/>
      <c r="N139" s="20"/>
      <c r="O139" s="20"/>
      <c r="P139" s="20"/>
      <c r="Q139" s="20"/>
      <c r="R139" s="20"/>
      <c r="S139" s="20"/>
      <c r="T139" s="20"/>
      <c r="U139" s="20"/>
      <c r="V139" s="20"/>
      <c r="W139" s="20"/>
      <c r="X139" s="20"/>
    </row>
    <row r="140" spans="2:24">
      <c r="B140" s="17"/>
      <c r="C140" s="17"/>
      <c r="D140" s="17"/>
      <c r="E140" s="17"/>
      <c r="F140" s="17"/>
      <c r="G140" s="44"/>
      <c r="H140" s="44"/>
      <c r="I140" s="44"/>
      <c r="J140" s="46"/>
      <c r="K140" s="46"/>
      <c r="L140" s="46"/>
      <c r="M140" s="20"/>
      <c r="N140" s="20"/>
      <c r="O140" s="20"/>
      <c r="P140" s="20"/>
      <c r="Q140" s="20"/>
      <c r="R140" s="20"/>
      <c r="S140" s="20"/>
      <c r="T140" s="20"/>
      <c r="U140" s="20"/>
      <c r="V140" s="20"/>
      <c r="W140" s="20"/>
      <c r="X140" s="20"/>
    </row>
    <row r="141" spans="2:24">
      <c r="B141" s="17"/>
      <c r="C141" s="17"/>
      <c r="D141" s="17"/>
      <c r="E141" s="17"/>
      <c r="F141" s="17"/>
      <c r="G141" s="44"/>
      <c r="H141" s="44"/>
      <c r="I141" s="44"/>
      <c r="J141" s="46"/>
      <c r="K141" s="46"/>
      <c r="L141" s="46"/>
      <c r="M141" s="20"/>
      <c r="N141" s="20"/>
      <c r="O141" s="20"/>
      <c r="P141" s="20"/>
      <c r="Q141" s="20"/>
      <c r="R141" s="20"/>
      <c r="S141" s="20"/>
      <c r="T141" s="20"/>
      <c r="U141" s="20"/>
      <c r="V141" s="20"/>
      <c r="W141" s="20"/>
      <c r="X141" s="20"/>
    </row>
    <row r="142" spans="2:24" ht="19.5">
      <c r="B142" s="250" t="s">
        <v>615</v>
      </c>
      <c r="C142" s="251" t="s">
        <v>616</v>
      </c>
      <c r="D142" s="267" t="s">
        <v>426</v>
      </c>
      <c r="E142" s="252" t="s">
        <v>427</v>
      </c>
      <c r="F142" s="17"/>
      <c r="G142" s="44"/>
      <c r="H142" s="44"/>
      <c r="I142" s="44"/>
    </row>
    <row r="143" spans="2:24">
      <c r="B143" s="195" t="s">
        <v>617</v>
      </c>
      <c r="C143" s="168" t="s">
        <v>618</v>
      </c>
      <c r="D143" s="195" t="s">
        <v>619</v>
      </c>
      <c r="E143" s="266">
        <v>0</v>
      </c>
      <c r="F143" s="17"/>
      <c r="G143" s="44"/>
      <c r="H143" s="44"/>
      <c r="I143" s="44"/>
    </row>
    <row r="144" spans="2:24">
      <c r="F144" s="17"/>
      <c r="G144" s="44"/>
      <c r="H144" s="44"/>
      <c r="I144" s="44"/>
    </row>
  </sheetData>
  <sheetProtection algorithmName="SHA-512" hashValue="ncV2Fzcksu9IE5p/28rilQA0Me1bDybhY2Zc7qI8jse48ve/nCkZzTrvy1Qo/S2VSqStzEwov4GZurhlVkIkcA==" saltValue="823fp15nB04Wx2qE8jfmDQ==" spinCount="100000" sheet="1" objects="1" scenarios="1"/>
  <mergeCells count="20">
    <mergeCell ref="E115:G115"/>
    <mergeCell ref="H115:J115"/>
    <mergeCell ref="K115:M115"/>
    <mergeCell ref="B4:L4"/>
    <mergeCell ref="E8:G8"/>
    <mergeCell ref="E109:G109"/>
    <mergeCell ref="H109:J109"/>
    <mergeCell ref="K109:M109"/>
    <mergeCell ref="G45:I45"/>
    <mergeCell ref="J45:O45"/>
    <mergeCell ref="G107:I107"/>
    <mergeCell ref="J107:O107"/>
    <mergeCell ref="G6:I6"/>
    <mergeCell ref="H8:J8"/>
    <mergeCell ref="K8:M8"/>
    <mergeCell ref="B106:G106"/>
    <mergeCell ref="B2:N2"/>
    <mergeCell ref="B8:B9"/>
    <mergeCell ref="C8:C9"/>
    <mergeCell ref="D8:D9"/>
  </mergeCells>
  <phoneticPr fontId="3" type="noConversion"/>
  <pageMargins left="0.7" right="0.7" top="0.75" bottom="0.75" header="0.3" footer="0.3"/>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7BCF6-BB54-4B91-AFB5-85B41B2094CE}">
  <sheetPr>
    <tabColor theme="6"/>
    <pageSetUpPr fitToPage="1"/>
  </sheetPr>
  <dimension ref="A1:Q165"/>
  <sheetViews>
    <sheetView zoomScale="80" zoomScaleNormal="80" workbookViewId="0"/>
  </sheetViews>
  <sheetFormatPr defaultColWidth="8.81640625" defaultRowHeight="13.5" customHeight="1"/>
  <cols>
    <col min="1" max="1" width="5.1796875" style="64" customWidth="1"/>
    <col min="2" max="2" width="111" style="64" customWidth="1"/>
    <col min="3" max="3" width="25.54296875" style="98" customWidth="1"/>
    <col min="4" max="4" width="24.1796875" style="64" bestFit="1" customWidth="1"/>
    <col min="5" max="5" width="21" style="64" bestFit="1" customWidth="1"/>
    <col min="6" max="7" width="21.90625" style="64" bestFit="1" customWidth="1"/>
    <col min="8" max="8" width="21.453125" style="64" customWidth="1"/>
    <col min="9" max="9" width="22.81640625" style="64" customWidth="1"/>
    <col min="10" max="10" width="20.81640625" style="64" customWidth="1"/>
    <col min="11" max="11" width="23.36328125" style="64" customWidth="1"/>
    <col min="12" max="12" width="15.54296875" style="64" bestFit="1" customWidth="1"/>
    <col min="13" max="15" width="15.08984375" style="64" bestFit="1" customWidth="1"/>
    <col min="16" max="16" width="12" style="64" customWidth="1"/>
    <col min="17" max="17" width="8.81640625" style="64" bestFit="1"/>
    <col min="18" max="16384" width="8.81640625" style="64"/>
  </cols>
  <sheetData>
    <row r="1" spans="1:17"/>
    <row r="2" spans="1:17" ht="35" customHeight="1">
      <c r="A2" s="364"/>
      <c r="B2" s="704" t="s">
        <v>421</v>
      </c>
      <c r="C2" s="704"/>
      <c r="D2" s="704"/>
      <c r="E2" s="704"/>
      <c r="F2" s="704"/>
      <c r="G2" s="704"/>
      <c r="H2" s="704"/>
      <c r="I2" s="704"/>
      <c r="J2" s="704"/>
      <c r="K2" s="704"/>
      <c r="L2" s="704"/>
      <c r="M2" s="704"/>
      <c r="N2" s="8"/>
      <c r="O2" s="107"/>
      <c r="P2" s="107"/>
      <c r="Q2" s="108"/>
    </row>
    <row r="3" spans="1:17" ht="40.75" customHeight="1">
      <c r="B3" s="109"/>
      <c r="C3" s="110"/>
      <c r="D3" s="109"/>
      <c r="E3" s="109"/>
      <c r="F3" s="109"/>
      <c r="G3" s="111"/>
      <c r="H3" s="111"/>
      <c r="I3" s="111"/>
      <c r="J3" s="111"/>
      <c r="K3" s="111"/>
      <c r="L3" s="111"/>
      <c r="M3" s="111"/>
      <c r="N3" s="111"/>
      <c r="O3" s="111"/>
      <c r="P3" s="111"/>
      <c r="Q3" s="108"/>
    </row>
    <row r="4" spans="1:17" ht="82.25" customHeight="1">
      <c r="B4" s="1375" t="s">
        <v>1184</v>
      </c>
      <c r="C4" s="1375"/>
      <c r="D4" s="1375"/>
      <c r="E4" s="1375"/>
      <c r="F4" s="1375"/>
      <c r="G4" s="1375"/>
      <c r="H4" s="1375"/>
      <c r="I4" s="459"/>
      <c r="J4" s="459"/>
      <c r="K4"/>
      <c r="L4" s="108"/>
      <c r="M4" s="363"/>
      <c r="N4" s="108"/>
      <c r="O4" s="120"/>
      <c r="P4" s="108"/>
      <c r="Q4" s="108"/>
    </row>
    <row r="5" spans="1:17" ht="15" hidden="1">
      <c r="B5" s="23"/>
      <c r="C5" s="105"/>
      <c r="D5" s="23"/>
      <c r="E5" s="23"/>
      <c r="F5" s="23"/>
      <c r="G5" s="24"/>
      <c r="H5" s="24"/>
      <c r="I5" s="24"/>
      <c r="J5" s="459"/>
      <c r="K5" s="108"/>
      <c r="L5" s="108"/>
      <c r="M5" s="108"/>
      <c r="N5" s="108"/>
      <c r="O5" s="597"/>
      <c r="P5" s="108"/>
      <c r="Q5" s="108"/>
    </row>
    <row r="6" spans="1:17" ht="19.5">
      <c r="B6" s="1110" t="s">
        <v>423</v>
      </c>
      <c r="C6" s="1111"/>
      <c r="D6" s="1112"/>
      <c r="E6" s="1112"/>
      <c r="F6" s="1112"/>
      <c r="G6" s="1376"/>
      <c r="H6" s="1376"/>
      <c r="I6" s="1376"/>
      <c r="J6" s="459"/>
      <c r="K6" s="108"/>
      <c r="L6" s="108"/>
      <c r="M6" s="108"/>
      <c r="N6" s="108"/>
      <c r="O6" s="597"/>
      <c r="P6" s="108"/>
      <c r="Q6" s="108"/>
    </row>
    <row r="7" spans="1:17" ht="15">
      <c r="C7" s="117"/>
      <c r="D7" s="118"/>
      <c r="E7" s="118"/>
      <c r="F7" s="118"/>
      <c r="G7" s="119"/>
      <c r="H7" s="119"/>
      <c r="I7" s="119"/>
      <c r="J7" s="459"/>
      <c r="K7" s="108"/>
      <c r="L7" s="108"/>
      <c r="M7" s="108"/>
      <c r="N7" s="108"/>
      <c r="O7" s="597"/>
      <c r="P7" s="108"/>
      <c r="Q7" s="120"/>
    </row>
    <row r="8" spans="1:17" ht="39.65" customHeight="1">
      <c r="B8" s="1377" t="s">
        <v>424</v>
      </c>
      <c r="C8" s="1378" t="s">
        <v>426</v>
      </c>
      <c r="D8" s="1113" t="s">
        <v>427</v>
      </c>
      <c r="E8" s="1120" t="s">
        <v>412</v>
      </c>
      <c r="F8" s="1120" t="s">
        <v>406</v>
      </c>
      <c r="G8" s="1120" t="s">
        <v>409</v>
      </c>
      <c r="H8" s="1116" t="s">
        <v>620</v>
      </c>
      <c r="I8" s="1116" t="s">
        <v>621</v>
      </c>
      <c r="J8" s="459"/>
      <c r="K8" s="108"/>
      <c r="L8" s="108"/>
      <c r="M8" s="108"/>
      <c r="N8" s="597"/>
      <c r="O8" s="108"/>
    </row>
    <row r="9" spans="1:17">
      <c r="B9" s="1377"/>
      <c r="C9" s="1378"/>
      <c r="D9" s="1113" t="s">
        <v>428</v>
      </c>
      <c r="E9" s="1120" t="s">
        <v>428</v>
      </c>
      <c r="F9" s="1120" t="s">
        <v>428</v>
      </c>
      <c r="G9" s="1120" t="s">
        <v>428</v>
      </c>
      <c r="H9" s="1117" t="s">
        <v>428</v>
      </c>
      <c r="I9" s="1117" t="s">
        <v>428</v>
      </c>
      <c r="J9" s="108"/>
      <c r="K9" s="108"/>
      <c r="L9" s="108"/>
      <c r="M9" s="108"/>
      <c r="N9" s="597"/>
      <c r="O9" s="108"/>
    </row>
    <row r="10" spans="1:17" ht="18" customHeight="1">
      <c r="B10" s="668" t="s">
        <v>351</v>
      </c>
      <c r="C10" s="956" t="s">
        <v>1098</v>
      </c>
      <c r="D10" s="1114">
        <v>233300</v>
      </c>
      <c r="E10" s="669">
        <v>239862</v>
      </c>
      <c r="F10" s="669">
        <v>240473</v>
      </c>
      <c r="G10" s="669">
        <v>238069</v>
      </c>
      <c r="H10" s="1118">
        <f t="shared" ref="H10:H14" si="0">(D10-E10)/E10</f>
        <v>-2.7357397170039439E-2</v>
      </c>
      <c r="I10" s="1118">
        <f>(D10-G10)/G10</f>
        <v>-2.0032007527229501E-2</v>
      </c>
      <c r="J10" s="108"/>
      <c r="K10" s="108"/>
      <c r="L10" s="108"/>
      <c r="M10" s="108"/>
      <c r="N10" s="120"/>
      <c r="O10" s="108"/>
    </row>
    <row r="11" spans="1:17" ht="18" customHeight="1">
      <c r="B11" s="668" t="s">
        <v>352</v>
      </c>
      <c r="C11" s="956" t="s">
        <v>1098</v>
      </c>
      <c r="D11" s="1114">
        <v>130386</v>
      </c>
      <c r="E11" s="669">
        <v>170248</v>
      </c>
      <c r="F11" s="669">
        <v>169111</v>
      </c>
      <c r="G11" s="669">
        <v>179749</v>
      </c>
      <c r="H11" s="1118">
        <f t="shared" si="0"/>
        <v>-0.2341407828579484</v>
      </c>
      <c r="I11" s="1118">
        <f t="shared" ref="I11:I14" si="1">(D11-G11)/G11</f>
        <v>-0.27462183377932564</v>
      </c>
      <c r="J11" s="108"/>
      <c r="K11" s="108"/>
      <c r="L11" s="108"/>
      <c r="M11" s="108"/>
      <c r="N11" s="120"/>
      <c r="O11" s="108"/>
    </row>
    <row r="12" spans="1:17" ht="18" customHeight="1">
      <c r="B12" s="668" t="s">
        <v>353</v>
      </c>
      <c r="C12" s="956" t="s">
        <v>1098</v>
      </c>
      <c r="D12" s="1114">
        <v>204848</v>
      </c>
      <c r="E12" s="669">
        <v>225712</v>
      </c>
      <c r="F12" s="669">
        <v>209158</v>
      </c>
      <c r="G12" s="669">
        <v>231360</v>
      </c>
      <c r="H12" s="1118">
        <f t="shared" si="0"/>
        <v>-9.2436379102573185E-2</v>
      </c>
      <c r="I12" s="1118">
        <f t="shared" si="1"/>
        <v>-0.11459197786998616</v>
      </c>
      <c r="J12" s="108"/>
      <c r="K12" s="108"/>
      <c r="L12" s="108"/>
      <c r="M12" s="108"/>
      <c r="N12" s="120"/>
      <c r="O12" s="108"/>
    </row>
    <row r="13" spans="1:17" ht="18" customHeight="1">
      <c r="B13" s="670" t="s">
        <v>435</v>
      </c>
      <c r="C13" s="957" t="s">
        <v>1099</v>
      </c>
      <c r="D13" s="1114">
        <v>363686</v>
      </c>
      <c r="E13" s="671">
        <v>410110</v>
      </c>
      <c r="F13" s="671">
        <v>409584</v>
      </c>
      <c r="G13" s="671">
        <v>417818</v>
      </c>
      <c r="H13" s="1119">
        <f t="shared" si="0"/>
        <v>-0.1131988978566726</v>
      </c>
      <c r="I13" s="1119">
        <f t="shared" si="1"/>
        <v>-0.12955880311523199</v>
      </c>
      <c r="J13" s="108"/>
      <c r="K13" s="108"/>
      <c r="L13" s="108"/>
      <c r="M13" s="108"/>
      <c r="N13" s="120"/>
      <c r="O13" s="108"/>
    </row>
    <row r="14" spans="1:17" ht="18" customHeight="1">
      <c r="B14" s="668" t="s">
        <v>438</v>
      </c>
      <c r="C14" s="956" t="s">
        <v>1098</v>
      </c>
      <c r="D14" s="1114">
        <v>438148</v>
      </c>
      <c r="E14" s="669">
        <v>465574</v>
      </c>
      <c r="F14" s="669">
        <v>449631</v>
      </c>
      <c r="G14" s="669">
        <v>469429</v>
      </c>
      <c r="H14" s="1118">
        <f t="shared" si="0"/>
        <v>-5.8907928707359086E-2</v>
      </c>
      <c r="I14" s="1118">
        <f t="shared" si="1"/>
        <v>-6.6636275134258849E-2</v>
      </c>
      <c r="J14" s="108"/>
      <c r="K14" s="108"/>
      <c r="L14" s="108"/>
      <c r="M14" s="108"/>
      <c r="N14" s="108"/>
      <c r="O14" s="108"/>
    </row>
    <row r="15" spans="1:17" ht="30">
      <c r="B15" s="670" t="s">
        <v>355</v>
      </c>
      <c r="C15" s="958" t="s">
        <v>625</v>
      </c>
      <c r="D15" s="1115">
        <v>3.4</v>
      </c>
      <c r="E15" s="672">
        <v>3.7</v>
      </c>
      <c r="F15" s="672">
        <v>3.9</v>
      </c>
      <c r="G15" s="672">
        <v>3.7</v>
      </c>
      <c r="H15" s="1119">
        <f>(D15-E15)/E15</f>
        <v>-8.1081081081081155E-2</v>
      </c>
      <c r="I15" s="1119">
        <f>(D15-G15)/G15</f>
        <v>-8.1081081081081155E-2</v>
      </c>
      <c r="J15" s="108"/>
      <c r="K15" s="108"/>
      <c r="L15" s="108"/>
      <c r="M15" s="108"/>
      <c r="N15" s="108"/>
      <c r="O15" s="108"/>
    </row>
    <row r="16" spans="1:17">
      <c r="B16" s="121"/>
      <c r="C16" s="959"/>
      <c r="D16" s="496"/>
      <c r="E16" s="496"/>
      <c r="F16" s="496"/>
      <c r="G16" s="124"/>
      <c r="H16" s="124"/>
      <c r="I16" s="124"/>
      <c r="J16" s="124"/>
      <c r="K16" s="40"/>
      <c r="L16" s="108"/>
      <c r="M16" s="108"/>
      <c r="N16" s="108"/>
      <c r="O16" s="108"/>
      <c r="P16" s="108"/>
    </row>
    <row r="17" spans="2:16" ht="27">
      <c r="B17" s="1126" t="s">
        <v>442</v>
      </c>
      <c r="C17" s="955" t="s">
        <v>426</v>
      </c>
      <c r="D17" s="935" t="s">
        <v>427</v>
      </c>
      <c r="E17" s="1120" t="s">
        <v>412</v>
      </c>
      <c r="F17" s="1120" t="s">
        <v>406</v>
      </c>
      <c r="G17" s="1120" t="s">
        <v>409</v>
      </c>
      <c r="H17" s="951" t="s">
        <v>620</v>
      </c>
      <c r="I17" s="951" t="s">
        <v>621</v>
      </c>
      <c r="K17" s="40"/>
      <c r="L17" s="108"/>
      <c r="M17" s="108"/>
      <c r="N17" s="108"/>
      <c r="O17" s="108"/>
      <c r="P17" s="108"/>
    </row>
    <row r="18" spans="2:16" ht="17">
      <c r="B18" s="665" t="s">
        <v>444</v>
      </c>
      <c r="C18" s="665" t="s">
        <v>1100</v>
      </c>
      <c r="D18" s="721">
        <v>2495475</v>
      </c>
      <c r="E18" s="666">
        <v>2978197</v>
      </c>
      <c r="F18" s="666">
        <v>2812518</v>
      </c>
      <c r="G18" s="666">
        <v>3433660</v>
      </c>
      <c r="H18" s="1007">
        <f t="shared" ref="H18:H25" si="2">(D18-E18)/E18</f>
        <v>-0.16208531537705531</v>
      </c>
      <c r="I18" s="1007">
        <f t="shared" ref="I18:I25" si="3">(D18-G18)/G18</f>
        <v>-0.27323177018108957</v>
      </c>
      <c r="K18" s="40"/>
      <c r="L18" s="108"/>
      <c r="M18" s="108"/>
      <c r="N18" s="108"/>
      <c r="O18" s="108"/>
      <c r="P18" s="108"/>
    </row>
    <row r="19" spans="2:16" ht="17">
      <c r="B19" s="665" t="s">
        <v>447</v>
      </c>
      <c r="C19" s="665" t="s">
        <v>1100</v>
      </c>
      <c r="D19" s="721">
        <v>177329</v>
      </c>
      <c r="E19" s="666">
        <v>163641</v>
      </c>
      <c r="F19" s="666">
        <v>242456</v>
      </c>
      <c r="G19" s="666">
        <v>367141</v>
      </c>
      <c r="H19" s="1007">
        <f t="shared" si="2"/>
        <v>8.3646518904186604E-2</v>
      </c>
      <c r="I19" s="1007">
        <f t="shared" si="3"/>
        <v>-0.5170002805461662</v>
      </c>
      <c r="K19" s="40"/>
      <c r="L19" s="108"/>
      <c r="M19" s="108"/>
      <c r="N19" s="108"/>
      <c r="O19" s="108"/>
      <c r="P19" s="108"/>
    </row>
    <row r="20" spans="2:16" ht="17">
      <c r="B20" s="665" t="s">
        <v>449</v>
      </c>
      <c r="C20" s="665" t="s">
        <v>1100</v>
      </c>
      <c r="D20" s="721">
        <v>41018</v>
      </c>
      <c r="E20" s="666">
        <v>43505</v>
      </c>
      <c r="F20" s="666">
        <v>36695</v>
      </c>
      <c r="G20" s="666">
        <v>38199</v>
      </c>
      <c r="H20" s="1007">
        <f t="shared" si="2"/>
        <v>-5.7165843006550969E-2</v>
      </c>
      <c r="I20" s="1007">
        <f t="shared" si="3"/>
        <v>7.379774339642399E-2</v>
      </c>
      <c r="K20" s="40"/>
      <c r="L20" s="108"/>
      <c r="M20" s="345"/>
      <c r="N20" s="108"/>
      <c r="O20" s="108"/>
      <c r="P20" s="108"/>
    </row>
    <row r="21" spans="2:16" ht="17">
      <c r="B21" s="665" t="s">
        <v>451</v>
      </c>
      <c r="C21" s="665" t="s">
        <v>1100</v>
      </c>
      <c r="D21" s="721">
        <v>81999</v>
      </c>
      <c r="E21" s="666">
        <v>158625</v>
      </c>
      <c r="F21" s="666">
        <v>94348</v>
      </c>
      <c r="G21" s="666">
        <v>97424</v>
      </c>
      <c r="H21" s="1007">
        <f t="shared" si="2"/>
        <v>-0.48306382978723406</v>
      </c>
      <c r="I21" s="1007">
        <f t="shared" si="3"/>
        <v>-0.15832854327475776</v>
      </c>
      <c r="K21" s="40"/>
      <c r="L21" s="108"/>
      <c r="M21" s="108"/>
      <c r="N21" s="108"/>
      <c r="O21" s="108"/>
      <c r="P21" s="108"/>
    </row>
    <row r="22" spans="2:16" ht="17">
      <c r="B22" s="665" t="s">
        <v>453</v>
      </c>
      <c r="C22" s="665" t="s">
        <v>1100</v>
      </c>
      <c r="D22" s="721">
        <v>4004</v>
      </c>
      <c r="E22" s="666">
        <v>5220</v>
      </c>
      <c r="F22" s="666">
        <v>4549</v>
      </c>
      <c r="G22" s="666">
        <v>3439</v>
      </c>
      <c r="H22" s="1007">
        <f t="shared" si="2"/>
        <v>-0.23295019157088123</v>
      </c>
      <c r="I22" s="1007">
        <f t="shared" si="3"/>
        <v>0.16429194533294561</v>
      </c>
      <c r="K22" s="40"/>
      <c r="L22" s="108"/>
      <c r="M22" s="108"/>
      <c r="N22" s="108"/>
      <c r="O22" s="108"/>
      <c r="P22" s="108"/>
    </row>
    <row r="23" spans="2:16" ht="17">
      <c r="B23" s="665" t="s">
        <v>455</v>
      </c>
      <c r="C23" s="665" t="s">
        <v>1100</v>
      </c>
      <c r="D23" s="721">
        <v>5077.3333333333303</v>
      </c>
      <c r="E23" s="666">
        <v>1336</v>
      </c>
      <c r="F23" s="666">
        <v>67</v>
      </c>
      <c r="G23" s="666">
        <v>9202</v>
      </c>
      <c r="H23" s="1007">
        <f t="shared" si="2"/>
        <v>2.8003992015968042</v>
      </c>
      <c r="I23" s="1007">
        <f t="shared" si="3"/>
        <v>-0.44823589074838838</v>
      </c>
      <c r="K23" s="40"/>
      <c r="L23" s="108"/>
      <c r="M23" s="108"/>
      <c r="N23" s="108"/>
      <c r="O23" s="108"/>
      <c r="P23" s="108"/>
    </row>
    <row r="24" spans="2:16" ht="17">
      <c r="B24" s="665" t="s">
        <v>457</v>
      </c>
      <c r="C24" s="665" t="s">
        <v>1100</v>
      </c>
      <c r="D24" s="721">
        <v>13627</v>
      </c>
      <c r="E24" s="666">
        <v>13517.48</v>
      </c>
      <c r="F24" s="666">
        <v>25763.02</v>
      </c>
      <c r="G24" s="666">
        <v>25763.02</v>
      </c>
      <c r="H24" s="1007">
        <f t="shared" si="2"/>
        <v>8.1021018710588401E-3</v>
      </c>
      <c r="I24" s="1007">
        <f t="shared" si="3"/>
        <v>-0.47106356320027698</v>
      </c>
      <c r="K24" s="40"/>
      <c r="L24" s="108"/>
      <c r="M24" s="108"/>
      <c r="N24" s="108"/>
      <c r="O24" s="108"/>
      <c r="P24" s="108"/>
    </row>
    <row r="25" spans="2:16" ht="17">
      <c r="B25" s="665" t="s">
        <v>459</v>
      </c>
      <c r="C25" s="665" t="s">
        <v>1100</v>
      </c>
      <c r="D25" s="721">
        <v>523</v>
      </c>
      <c r="E25" s="666">
        <v>698</v>
      </c>
      <c r="F25" s="666">
        <v>602</v>
      </c>
      <c r="G25" s="666">
        <v>5094</v>
      </c>
      <c r="H25" s="1007">
        <f t="shared" si="2"/>
        <v>-0.25071633237822349</v>
      </c>
      <c r="I25" s="1007">
        <f t="shared" si="3"/>
        <v>-0.89733019238319589</v>
      </c>
      <c r="K25" s="40"/>
      <c r="L25" s="108"/>
      <c r="M25" s="108"/>
      <c r="N25" s="108"/>
      <c r="O25" s="108"/>
      <c r="P25" s="108"/>
    </row>
    <row r="26" spans="2:16" ht="17">
      <c r="B26" s="665" t="s">
        <v>461</v>
      </c>
      <c r="C26" s="665" t="s">
        <v>1100</v>
      </c>
      <c r="D26" s="721">
        <v>0</v>
      </c>
      <c r="E26" s="666">
        <v>0</v>
      </c>
      <c r="F26" s="666">
        <v>0</v>
      </c>
      <c r="G26" s="666">
        <v>0</v>
      </c>
      <c r="H26" s="1007"/>
      <c r="I26" s="1007"/>
      <c r="K26" s="40"/>
      <c r="L26" s="108"/>
      <c r="M26" s="108"/>
      <c r="N26" s="108"/>
      <c r="O26" s="108"/>
      <c r="P26" s="108"/>
    </row>
    <row r="27" spans="2:16" ht="17">
      <c r="B27" s="665" t="s">
        <v>463</v>
      </c>
      <c r="C27" s="665" t="s">
        <v>1100</v>
      </c>
      <c r="D27" s="721">
        <v>0</v>
      </c>
      <c r="E27" s="666">
        <v>0</v>
      </c>
      <c r="F27" s="666">
        <v>0</v>
      </c>
      <c r="G27" s="666">
        <v>0</v>
      </c>
      <c r="H27" s="1007"/>
      <c r="I27" s="1007"/>
      <c r="K27" s="40"/>
      <c r="L27" s="108"/>
      <c r="M27" s="108"/>
      <c r="N27" s="108"/>
      <c r="O27" s="108"/>
      <c r="P27" s="108"/>
    </row>
    <row r="28" spans="2:16" ht="17">
      <c r="B28" s="665" t="s">
        <v>465</v>
      </c>
      <c r="C28" s="665" t="s">
        <v>1100</v>
      </c>
      <c r="D28" s="721">
        <v>0</v>
      </c>
      <c r="E28" s="666">
        <v>0</v>
      </c>
      <c r="F28" s="666">
        <v>0</v>
      </c>
      <c r="G28" s="666">
        <v>0</v>
      </c>
      <c r="H28" s="1007"/>
      <c r="I28" s="1007"/>
      <c r="K28" s="40"/>
      <c r="L28" s="108"/>
      <c r="M28" s="108"/>
      <c r="N28" s="108"/>
      <c r="O28" s="108"/>
      <c r="P28" s="108"/>
    </row>
    <row r="29" spans="2:16" ht="17">
      <c r="B29" s="665" t="s">
        <v>467</v>
      </c>
      <c r="C29" s="665" t="s">
        <v>1100</v>
      </c>
      <c r="D29" s="721">
        <v>0</v>
      </c>
      <c r="E29" s="666">
        <v>0</v>
      </c>
      <c r="F29" s="666">
        <v>0</v>
      </c>
      <c r="G29" s="666">
        <v>0</v>
      </c>
      <c r="H29" s="1007"/>
      <c r="I29" s="1007"/>
      <c r="K29" s="40"/>
      <c r="L29" s="108"/>
      <c r="M29" s="108"/>
      <c r="N29" s="108"/>
      <c r="O29" s="108"/>
      <c r="P29" s="108"/>
    </row>
    <row r="30" spans="2:16" ht="17">
      <c r="B30" s="665" t="s">
        <v>469</v>
      </c>
      <c r="C30" s="665" t="s">
        <v>1100</v>
      </c>
      <c r="D30" s="721">
        <v>0</v>
      </c>
      <c r="E30" s="666">
        <v>0</v>
      </c>
      <c r="F30" s="666">
        <v>0</v>
      </c>
      <c r="G30" s="666">
        <v>0</v>
      </c>
      <c r="H30" s="1007"/>
      <c r="I30" s="1007"/>
      <c r="K30" s="40"/>
      <c r="L30" s="108"/>
      <c r="M30" s="108"/>
      <c r="N30" s="108"/>
      <c r="O30" s="108"/>
      <c r="P30" s="108"/>
    </row>
    <row r="31" spans="2:16" ht="17">
      <c r="B31" s="665" t="s">
        <v>471</v>
      </c>
      <c r="C31" s="665" t="s">
        <v>1100</v>
      </c>
      <c r="D31" s="721">
        <v>0</v>
      </c>
      <c r="E31" s="666">
        <v>0</v>
      </c>
      <c r="F31" s="666">
        <v>0</v>
      </c>
      <c r="G31" s="666">
        <v>0</v>
      </c>
      <c r="H31" s="1007"/>
      <c r="I31" s="1007"/>
      <c r="K31" s="40"/>
      <c r="L31" s="108"/>
      <c r="M31" s="108"/>
      <c r="N31" s="108"/>
      <c r="O31" s="108"/>
      <c r="P31" s="108"/>
    </row>
    <row r="32" spans="2:16" ht="17">
      <c r="B32" s="665" t="s">
        <v>473</v>
      </c>
      <c r="C32" s="665" t="s">
        <v>1100</v>
      </c>
      <c r="D32" s="721">
        <v>125196</v>
      </c>
      <c r="E32" s="666">
        <v>118356</v>
      </c>
      <c r="F32" s="666">
        <v>119005</v>
      </c>
      <c r="G32" s="666">
        <v>129337</v>
      </c>
      <c r="H32" s="1007">
        <f>(D32-E32)/E32</f>
        <v>5.779174693298185E-2</v>
      </c>
      <c r="I32" s="1007">
        <f>(D32-G32)/G32</f>
        <v>-3.2017133534874009E-2</v>
      </c>
      <c r="K32" s="40"/>
      <c r="L32" s="108"/>
      <c r="M32" s="108"/>
      <c r="N32" s="108"/>
      <c r="O32" s="108"/>
      <c r="P32" s="108"/>
    </row>
    <row r="33" spans="2:17" ht="17">
      <c r="B33" s="664" t="s">
        <v>1010</v>
      </c>
      <c r="C33" s="960" t="s">
        <v>1101</v>
      </c>
      <c r="D33" s="721">
        <f>SUM(D18:D32)</f>
        <v>2944248.3333333335</v>
      </c>
      <c r="E33" s="667">
        <f>SUM(E18:E32)</f>
        <v>3483095.48</v>
      </c>
      <c r="F33" s="667">
        <f>SUM(F18:F32)</f>
        <v>3336003.02</v>
      </c>
      <c r="G33" s="667">
        <f>SUM(G18:G32)</f>
        <v>4109259.02</v>
      </c>
      <c r="H33" s="1008">
        <f>(D33-E33)/E33</f>
        <v>-0.15470352442553958</v>
      </c>
      <c r="I33" s="1008">
        <f>(D33-G33)/G33</f>
        <v>-0.28350870095958725</v>
      </c>
      <c r="K33" s="40"/>
      <c r="L33" s="108"/>
      <c r="M33" s="108"/>
      <c r="N33" s="108"/>
      <c r="O33" s="108"/>
      <c r="P33" s="108"/>
    </row>
    <row r="34" spans="2:17">
      <c r="B34" s="125"/>
      <c r="C34" s="961"/>
      <c r="D34" s="910"/>
      <c r="E34" s="910"/>
      <c r="F34" s="128"/>
      <c r="G34" s="128"/>
      <c r="H34" s="934"/>
      <c r="I34" s="934"/>
      <c r="J34" s="124"/>
      <c r="K34" s="40"/>
      <c r="L34" s="108"/>
      <c r="M34" s="108"/>
      <c r="N34" s="108"/>
      <c r="O34" s="108"/>
      <c r="P34" s="108"/>
    </row>
    <row r="35" spans="2:17" ht="41.4" customHeight="1">
      <c r="B35" s="1126" t="s">
        <v>1094</v>
      </c>
      <c r="C35" s="955" t="s">
        <v>426</v>
      </c>
      <c r="D35" s="952" t="str">
        <f>D17</f>
        <v>2022/23</v>
      </c>
      <c r="E35" s="1121" t="str">
        <f>E17</f>
        <v>2021/22</v>
      </c>
      <c r="F35" s="1121" t="str">
        <f>F17</f>
        <v>2020/21</v>
      </c>
      <c r="G35" s="1121" t="str">
        <f>G17</f>
        <v>2019/20</v>
      </c>
      <c r="H35" s="951" t="s">
        <v>620</v>
      </c>
      <c r="I35" s="951" t="s">
        <v>621</v>
      </c>
      <c r="K35" s="129"/>
      <c r="L35" s="129"/>
      <c r="M35" s="108"/>
      <c r="N35" s="108"/>
      <c r="O35" s="108"/>
      <c r="P35" s="108"/>
    </row>
    <row r="36" spans="2:17" ht="67.5" hidden="1" customHeight="1">
      <c r="B36" s="644" t="str">
        <f>B10</f>
        <v>Total Scope 1 GHG emissions</v>
      </c>
      <c r="C36" s="962" t="s">
        <v>446</v>
      </c>
      <c r="D36" s="909">
        <f t="shared" ref="D36:G37" si="4">D10</f>
        <v>233300</v>
      </c>
      <c r="E36" s="953">
        <f t="shared" si="4"/>
        <v>239862</v>
      </c>
      <c r="F36" s="953">
        <f t="shared" si="4"/>
        <v>240473</v>
      </c>
      <c r="G36" s="953">
        <f t="shared" si="4"/>
        <v>238069</v>
      </c>
      <c r="H36" s="946">
        <f t="shared" ref="H36:H42" si="5">(D36-E36)/E36</f>
        <v>-2.7357397170039439E-2</v>
      </c>
      <c r="I36" s="946">
        <f t="shared" ref="I36:I42" si="6">(D36-G36)/G36</f>
        <v>-2.0032007527229501E-2</v>
      </c>
      <c r="K36" s="129"/>
      <c r="L36" s="388"/>
      <c r="M36" s="108"/>
      <c r="N36" s="108"/>
      <c r="O36" s="108"/>
      <c r="P36" s="108"/>
    </row>
    <row r="37" spans="2:17" ht="108" hidden="1" customHeight="1">
      <c r="B37" s="644" t="str">
        <f>B11</f>
        <v>Total Scope 2 GHG emissions (market-based)</v>
      </c>
      <c r="C37" s="962" t="s">
        <v>446</v>
      </c>
      <c r="D37" s="909">
        <f t="shared" si="4"/>
        <v>130386</v>
      </c>
      <c r="E37" s="953">
        <f t="shared" si="4"/>
        <v>170248</v>
      </c>
      <c r="F37" s="953">
        <f t="shared" si="4"/>
        <v>169111</v>
      </c>
      <c r="G37" s="953">
        <f t="shared" si="4"/>
        <v>179749</v>
      </c>
      <c r="H37" s="946">
        <f t="shared" si="5"/>
        <v>-0.2341407828579484</v>
      </c>
      <c r="I37" s="946">
        <f t="shared" si="6"/>
        <v>-0.27462183377932564</v>
      </c>
      <c r="K37" s="129"/>
      <c r="L37" s="388"/>
      <c r="M37" s="108"/>
      <c r="N37" s="108"/>
      <c r="O37" s="108"/>
      <c r="P37" s="108"/>
    </row>
    <row r="38" spans="2:17" ht="19.5" hidden="1" customHeight="1">
      <c r="B38" s="644" t="str">
        <f>"Scope 3 - "&amp;B18</f>
        <v>Scope 3 - Total Scope 3 (Category 1) Purchased goods and services GHG emissions</v>
      </c>
      <c r="C38" s="962" t="s">
        <v>446</v>
      </c>
      <c r="D38" s="909">
        <f>D18</f>
        <v>2495475</v>
      </c>
      <c r="E38" s="953">
        <f>E18</f>
        <v>2978197</v>
      </c>
      <c r="F38" s="953">
        <f>F18</f>
        <v>2812518</v>
      </c>
      <c r="G38" s="953">
        <f>G18</f>
        <v>3433660</v>
      </c>
      <c r="H38" s="946">
        <f t="shared" si="5"/>
        <v>-0.16208531537705531</v>
      </c>
      <c r="I38" s="946">
        <f t="shared" si="6"/>
        <v>-0.27323177018108957</v>
      </c>
      <c r="K38" s="129"/>
      <c r="L38" s="388"/>
      <c r="M38" s="108"/>
      <c r="N38" s="108"/>
      <c r="O38" s="108"/>
      <c r="P38" s="108"/>
    </row>
    <row r="39" spans="2:17" ht="81" hidden="1" customHeight="1">
      <c r="B39" s="644" t="str">
        <f>"Scope 3 - All other categories"</f>
        <v>Scope 3 - All other categories</v>
      </c>
      <c r="C39" s="962" t="s">
        <v>446</v>
      </c>
      <c r="D39" s="909">
        <f>D33-D18</f>
        <v>448773.33333333349</v>
      </c>
      <c r="E39" s="953">
        <f>E33-E18</f>
        <v>504898.48</v>
      </c>
      <c r="F39" s="953">
        <f>F33-F18</f>
        <v>523485.02</v>
      </c>
      <c r="G39" s="953">
        <f>G33-G18</f>
        <v>675599.02</v>
      </c>
      <c r="H39" s="946">
        <f t="shared" si="5"/>
        <v>-0.11116125100369978</v>
      </c>
      <c r="I39" s="946">
        <f t="shared" si="6"/>
        <v>-0.33574010611600136</v>
      </c>
      <c r="K39" s="129"/>
      <c r="L39" s="388"/>
      <c r="M39" s="108"/>
      <c r="N39" s="108"/>
      <c r="O39" s="108"/>
      <c r="P39" s="108"/>
    </row>
    <row r="40" spans="2:17" ht="17">
      <c r="B40" s="623" t="s">
        <v>1083</v>
      </c>
      <c r="C40" s="960" t="s">
        <v>1101</v>
      </c>
      <c r="D40" s="721">
        <f>SUM(D36:D39)</f>
        <v>3307934.3333333335</v>
      </c>
      <c r="E40" s="744">
        <f t="shared" ref="E40:G40" si="7">SUM(E36:E39)</f>
        <v>3893205.48</v>
      </c>
      <c r="F40" s="744">
        <f t="shared" si="7"/>
        <v>3745587.02</v>
      </c>
      <c r="G40" s="744">
        <f t="shared" si="7"/>
        <v>4527077.0199999996</v>
      </c>
      <c r="H40" s="1007">
        <f>(D40-E40)/E40</f>
        <v>-0.15033142989068907</v>
      </c>
      <c r="I40" s="1007">
        <f>(D40-G40)/G40</f>
        <v>-0.26930018669456307</v>
      </c>
      <c r="K40" s="129"/>
      <c r="L40" s="388"/>
      <c r="M40" s="108"/>
      <c r="N40" s="108"/>
      <c r="O40" s="108"/>
      <c r="P40" s="108"/>
    </row>
    <row r="41" spans="2:17" ht="32">
      <c r="B41" s="651" t="s">
        <v>1084</v>
      </c>
      <c r="C41" s="956" t="s">
        <v>1102</v>
      </c>
      <c r="D41" s="726">
        <f>D40/D153</f>
        <v>30.593329387319734</v>
      </c>
      <c r="E41" s="954">
        <f>E40/E153</f>
        <v>35.542702673093778</v>
      </c>
      <c r="F41" s="954">
        <f>F40/F153</f>
        <v>35.261544298315805</v>
      </c>
      <c r="G41" s="954">
        <f>G40/G153</f>
        <v>40.008811333427595</v>
      </c>
      <c r="H41" s="1007">
        <f t="shared" si="5"/>
        <v>-0.13925146129984017</v>
      </c>
      <c r="I41" s="1007">
        <f t="shared" si="6"/>
        <v>-0.23533520822802276</v>
      </c>
      <c r="J41" s="129"/>
      <c r="K41" s="108"/>
      <c r="L41" s="108"/>
      <c r="M41" s="108"/>
      <c r="N41" s="108"/>
      <c r="O41" s="108"/>
      <c r="P41" s="108"/>
    </row>
    <row r="42" spans="2:17" ht="32">
      <c r="B42" s="651" t="s">
        <v>1085</v>
      </c>
      <c r="C42" s="956" t="s">
        <v>1103</v>
      </c>
      <c r="D42" s="726">
        <f>D40/D154</f>
        <v>221.51840442867029</v>
      </c>
      <c r="E42" s="954">
        <f>E40/E154</f>
        <v>242.94573978159127</v>
      </c>
      <c r="F42" s="954">
        <f>F40/F154</f>
        <v>242.66841723356009</v>
      </c>
      <c r="G42" s="954">
        <f>G40/G154</f>
        <v>310.56301159360635</v>
      </c>
      <c r="H42" s="1007">
        <f t="shared" si="5"/>
        <v>-8.8198028795171288E-2</v>
      </c>
      <c r="I42" s="1007">
        <f t="shared" si="6"/>
        <v>-0.28671993714904215</v>
      </c>
      <c r="J42" s="129"/>
      <c r="K42" s="108"/>
      <c r="L42" s="108"/>
      <c r="M42" s="108"/>
      <c r="N42" s="108"/>
      <c r="O42" s="108"/>
      <c r="P42" s="108"/>
    </row>
    <row r="43" spans="2:17">
      <c r="C43" s="67"/>
      <c r="I43" s="128"/>
      <c r="J43" s="129"/>
      <c r="K43" s="129"/>
      <c r="L43" s="108"/>
      <c r="M43" s="108"/>
      <c r="N43" s="108"/>
      <c r="O43" s="108"/>
      <c r="P43" s="108"/>
      <c r="Q43" s="108"/>
    </row>
    <row r="44" spans="2:17" ht="19.5">
      <c r="B44" s="1124" t="s">
        <v>576</v>
      </c>
      <c r="C44" s="1111"/>
      <c r="D44" s="1112"/>
      <c r="E44" s="1112"/>
      <c r="F44" s="1112"/>
      <c r="G44" s="1125"/>
      <c r="H44" s="1125"/>
      <c r="I44" s="1125"/>
      <c r="J44" s="129"/>
      <c r="K44" s="129"/>
      <c r="L44" s="108"/>
      <c r="M44" s="108"/>
      <c r="N44" s="108"/>
    </row>
    <row r="45" spans="2:17">
      <c r="B45" s="127"/>
      <c r="C45" s="963"/>
      <c r="D45" s="127"/>
      <c r="E45" s="127"/>
      <c r="F45" s="127"/>
      <c r="G45" s="128"/>
      <c r="H45" s="128"/>
      <c r="I45" s="128"/>
      <c r="J45" s="129"/>
      <c r="K45" s="129"/>
      <c r="L45" s="108"/>
      <c r="M45" s="108"/>
      <c r="N45" s="108"/>
      <c r="O45" s="108"/>
      <c r="P45" s="108"/>
      <c r="Q45" s="108"/>
    </row>
    <row r="46" spans="2:17" ht="42" customHeight="1">
      <c r="B46" s="900" t="s">
        <v>577</v>
      </c>
      <c r="C46" s="964" t="s">
        <v>426</v>
      </c>
      <c r="D46" s="935" t="s">
        <v>427</v>
      </c>
      <c r="E46" s="1120" t="s">
        <v>412</v>
      </c>
      <c r="F46" s="1120" t="s">
        <v>406</v>
      </c>
      <c r="G46" s="1120" t="s">
        <v>409</v>
      </c>
      <c r="H46" s="951" t="str">
        <f>H99</f>
        <v>Performance against prior year</v>
      </c>
      <c r="I46" s="936"/>
      <c r="K46" s="129"/>
      <c r="L46" s="108"/>
      <c r="M46" s="108"/>
      <c r="N46" s="108"/>
      <c r="O46" s="108"/>
    </row>
    <row r="47" spans="2:17">
      <c r="B47" s="657"/>
      <c r="C47" s="965"/>
      <c r="D47" s="937" t="s">
        <v>428</v>
      </c>
      <c r="E47" s="938" t="s">
        <v>428</v>
      </c>
      <c r="F47" s="938" t="s">
        <v>428</v>
      </c>
      <c r="G47" s="938" t="s">
        <v>428</v>
      </c>
      <c r="H47" s="939" t="s">
        <v>428</v>
      </c>
      <c r="I47" s="936"/>
      <c r="L47" s="108"/>
      <c r="M47" s="108"/>
      <c r="N47" s="120"/>
      <c r="O47" s="108"/>
    </row>
    <row r="48" spans="2:17" ht="15">
      <c r="B48" s="658" t="s">
        <v>359</v>
      </c>
      <c r="C48" s="966" t="s">
        <v>360</v>
      </c>
      <c r="D48" s="727">
        <f>D65/1000</f>
        <v>1185612.237</v>
      </c>
      <c r="E48" s="659">
        <f>E65/1000</f>
        <v>1241805.7790000001</v>
      </c>
      <c r="F48" s="659">
        <f>F65/1000</f>
        <v>1168337.6599999999</v>
      </c>
      <c r="G48" s="659">
        <f>G65/1000</f>
        <v>1202121.1410000001</v>
      </c>
      <c r="H48" s="1008">
        <f>(D48-E48)/E48</f>
        <v>-4.5251474063240066E-2</v>
      </c>
      <c r="I48" s="936"/>
      <c r="L48" s="108"/>
      <c r="M48" s="108"/>
      <c r="N48" s="120"/>
      <c r="O48" s="108"/>
    </row>
    <row r="49" spans="2:15" ht="15">
      <c r="B49" s="658" t="s">
        <v>579</v>
      </c>
      <c r="C49" s="967" t="s">
        <v>581</v>
      </c>
      <c r="D49" s="728">
        <v>10.96</v>
      </c>
      <c r="E49" s="660">
        <v>11.3</v>
      </c>
      <c r="F49" s="660">
        <v>10.98</v>
      </c>
      <c r="G49" s="660">
        <v>10.61</v>
      </c>
      <c r="H49" s="1008">
        <f>(D49-E49)/E49</f>
        <v>-3.0088495575221225E-2</v>
      </c>
      <c r="I49" s="936"/>
      <c r="L49" s="108"/>
      <c r="M49" s="108"/>
      <c r="N49" s="120"/>
      <c r="O49" s="108"/>
    </row>
    <row r="50" spans="2:15" ht="15">
      <c r="B50" s="661" t="s">
        <v>364</v>
      </c>
      <c r="C50" s="661" t="s">
        <v>614</v>
      </c>
      <c r="D50" s="903">
        <f>D74/D66</f>
        <v>0.41015331242742104</v>
      </c>
      <c r="E50" s="1011">
        <f>E74/E66</f>
        <v>0.32249413476970579</v>
      </c>
      <c r="F50" s="1011">
        <f>F74/F66</f>
        <v>0.28915626605659017</v>
      </c>
      <c r="G50" s="1011">
        <f>G74/G66</f>
        <v>0.25782256904592399</v>
      </c>
      <c r="H50" s="940"/>
      <c r="I50" s="941"/>
      <c r="J50" s="108"/>
      <c r="M50" s="108"/>
    </row>
    <row r="51" spans="2:15" ht="15">
      <c r="B51" s="661" t="s">
        <v>1092</v>
      </c>
      <c r="C51" s="661" t="s">
        <v>614</v>
      </c>
      <c r="D51" s="903">
        <f>D73/D65</f>
        <v>0.16756253587824599</v>
      </c>
      <c r="E51" s="1011">
        <f>E73/E65</f>
        <v>0.13139901082711905</v>
      </c>
      <c r="F51" s="1011">
        <f>F73/F65</f>
        <v>0.11917501144318159</v>
      </c>
      <c r="G51" s="1011">
        <f>G73/G65</f>
        <v>0.10858709538325971</v>
      </c>
      <c r="H51" s="940"/>
      <c r="I51" s="941"/>
      <c r="J51" s="108"/>
      <c r="M51" s="108"/>
    </row>
    <row r="52" spans="2:15" ht="21.5" customHeight="1">
      <c r="B52" s="153"/>
      <c r="C52" s="963"/>
      <c r="D52" s="910"/>
      <c r="E52" s="942"/>
      <c r="F52" s="128"/>
      <c r="G52" s="129"/>
      <c r="H52" s="936"/>
      <c r="I52" s="936"/>
      <c r="J52" s="108"/>
      <c r="M52" s="108"/>
      <c r="N52" s="108"/>
      <c r="O52" s="120"/>
    </row>
    <row r="53" spans="2:15" ht="1" customHeight="1">
      <c r="B53" s="127"/>
      <c r="C53" s="963"/>
      <c r="D53" s="910"/>
      <c r="E53" s="910"/>
      <c r="F53" s="128"/>
      <c r="G53" s="129"/>
      <c r="H53" s="936"/>
      <c r="I53" s="936"/>
      <c r="J53" s="108"/>
      <c r="M53" s="108"/>
      <c r="N53" s="108"/>
      <c r="O53" s="120"/>
    </row>
    <row r="54" spans="2:15" ht="36.65" customHeight="1">
      <c r="B54" s="718" t="s">
        <v>1093</v>
      </c>
      <c r="C54" s="964" t="s">
        <v>426</v>
      </c>
      <c r="D54" s="935" t="s">
        <v>427</v>
      </c>
      <c r="E54" s="1120" t="s">
        <v>412</v>
      </c>
      <c r="F54" s="1120" t="s">
        <v>406</v>
      </c>
      <c r="G54" s="1120" t="s">
        <v>409</v>
      </c>
      <c r="H54" s="951" t="s">
        <v>620</v>
      </c>
      <c r="I54" s="951" t="s">
        <v>621</v>
      </c>
      <c r="K54" s="108"/>
      <c r="L54" s="108"/>
      <c r="M54" s="108"/>
      <c r="N54" s="120"/>
    </row>
    <row r="55" spans="2:15" ht="21.5" hidden="1" customHeight="1">
      <c r="B55" s="653" t="s">
        <v>587</v>
      </c>
      <c r="C55" s="656" t="s">
        <v>589</v>
      </c>
      <c r="D55" s="943">
        <f t="shared" ref="D55:G63" si="8">D65*0.0036</f>
        <v>4268204.0532</v>
      </c>
      <c r="E55" s="944">
        <f t="shared" ref="E55:G61" si="9">E65*0.0036</f>
        <v>4470500.8043999998</v>
      </c>
      <c r="F55" s="945">
        <f t="shared" si="9"/>
        <v>4206015.5760000004</v>
      </c>
      <c r="G55" s="945">
        <f t="shared" si="9"/>
        <v>4327636.1075999998</v>
      </c>
      <c r="H55" s="946">
        <f t="shared" ref="H55:H59" si="10">(D55-E55)/E55</f>
        <v>-4.5251474063239927E-2</v>
      </c>
      <c r="I55" s="946">
        <f t="shared" ref="I55:I59" si="11">(D55-G55)/G55</f>
        <v>-1.3733145052475158E-2</v>
      </c>
      <c r="K55" s="108"/>
      <c r="L55" s="108"/>
      <c r="M55" s="108"/>
      <c r="N55" s="120"/>
    </row>
    <row r="56" spans="2:15" ht="21.5" hidden="1" customHeight="1">
      <c r="B56" s="653" t="s">
        <v>590</v>
      </c>
      <c r="C56" s="656" t="s">
        <v>589</v>
      </c>
      <c r="D56" s="943">
        <f t="shared" si="8"/>
        <v>1743716.4912</v>
      </c>
      <c r="E56" s="944">
        <f t="shared" si="9"/>
        <v>1821488.5799999998</v>
      </c>
      <c r="F56" s="945">
        <f t="shared" si="9"/>
        <v>1733498.5031999999</v>
      </c>
      <c r="G56" s="945">
        <f t="shared" si="9"/>
        <v>1822669.8947999999</v>
      </c>
      <c r="H56" s="946">
        <f t="shared" si="10"/>
        <v>-4.2696995003943312E-2</v>
      </c>
      <c r="I56" s="946">
        <f t="shared" si="11"/>
        <v>-4.3317445372445425E-2</v>
      </c>
      <c r="K56" s="108"/>
      <c r="L56" s="108"/>
      <c r="M56" s="108"/>
      <c r="N56" s="120"/>
    </row>
    <row r="57" spans="2:15" ht="21.5" hidden="1" customHeight="1">
      <c r="B57" s="653" t="s">
        <v>592</v>
      </c>
      <c r="C57" s="656" t="s">
        <v>589</v>
      </c>
      <c r="D57" s="943">
        <f t="shared" si="8"/>
        <v>2229315.804</v>
      </c>
      <c r="E57" s="944">
        <f t="shared" si="9"/>
        <v>2303934.7752</v>
      </c>
      <c r="F57" s="945">
        <f t="shared" si="9"/>
        <v>2164571.8560000001</v>
      </c>
      <c r="G57" s="945">
        <f t="shared" si="9"/>
        <v>2201419.2347999997</v>
      </c>
      <c r="H57" s="946">
        <f t="shared" si="10"/>
        <v>-3.2387623123368368E-2</v>
      </c>
      <c r="I57" s="946">
        <f t="shared" si="11"/>
        <v>1.2672083880712835E-2</v>
      </c>
      <c r="K57" s="108"/>
      <c r="L57" s="108"/>
      <c r="M57" s="108"/>
      <c r="N57" s="120"/>
    </row>
    <row r="58" spans="2:15" ht="21.5" hidden="1" customHeight="1">
      <c r="B58" s="653" t="s">
        <v>594</v>
      </c>
      <c r="C58" s="656" t="s">
        <v>589</v>
      </c>
      <c r="D58" s="943">
        <f>986948044*0.0036</f>
        <v>3553012.9583999999</v>
      </c>
      <c r="E58" s="944">
        <f t="shared" si="9"/>
        <v>3883081.4208</v>
      </c>
      <c r="F58" s="945">
        <f t="shared" si="9"/>
        <v>3704763.6252000001</v>
      </c>
      <c r="G58" s="945">
        <f t="shared" si="9"/>
        <v>3857710.6727999998</v>
      </c>
      <c r="H58" s="946">
        <f t="shared" si="10"/>
        <v>-8.5001684649712736E-2</v>
      </c>
      <c r="I58" s="946">
        <f t="shared" si="11"/>
        <v>-7.8984076371607342E-2</v>
      </c>
      <c r="K58" s="108"/>
      <c r="L58" s="108"/>
      <c r="M58" s="108"/>
      <c r="N58" s="120"/>
    </row>
    <row r="59" spans="2:15" ht="21.5" hidden="1" customHeight="1">
      <c r="B59" s="654" t="s">
        <v>596</v>
      </c>
      <c r="C59" s="656" t="s">
        <v>589</v>
      </c>
      <c r="D59" s="943">
        <f>D69*0.0036</f>
        <v>2475308.5128000001</v>
      </c>
      <c r="E59" s="944">
        <f t="shared" si="9"/>
        <v>2605562.1683999998</v>
      </c>
      <c r="F59" s="945">
        <f t="shared" si="9"/>
        <v>2460139.3043999998</v>
      </c>
      <c r="G59" s="945">
        <f t="shared" si="9"/>
        <v>2480339.4839999997</v>
      </c>
      <c r="H59" s="946">
        <f t="shared" si="10"/>
        <v>-4.9990615146206507E-2</v>
      </c>
      <c r="I59" s="946">
        <f t="shared" si="11"/>
        <v>-2.0283397625417811E-3</v>
      </c>
      <c r="K59" s="108"/>
      <c r="L59" s="108"/>
      <c r="M59" s="108"/>
      <c r="N59" s="120"/>
    </row>
    <row r="60" spans="2:15" ht="21.5" hidden="1" customHeight="1">
      <c r="B60" s="654" t="s">
        <v>598</v>
      </c>
      <c r="C60" s="656" t="s">
        <v>589</v>
      </c>
      <c r="D60" s="943">
        <f>D70*0.0036</f>
        <v>931420.57679999992</v>
      </c>
      <c r="E60" s="944">
        <f t="shared" si="9"/>
        <v>1127469.6576</v>
      </c>
      <c r="F60" s="945">
        <f t="shared" si="9"/>
        <v>1117471.3056000001</v>
      </c>
      <c r="G60" s="945">
        <f t="shared" si="9"/>
        <v>1257125.4683999999</v>
      </c>
      <c r="H60" s="946">
        <f t="shared" ref="H60:H63" si="12">(D60-E60)/E60</f>
        <v>-0.17388413025439817</v>
      </c>
      <c r="I60" s="946">
        <f t="shared" ref="I60:I63" si="13">(D60-G60)/G60</f>
        <v>-0.25908702017988644</v>
      </c>
      <c r="K60" s="108"/>
      <c r="L60" s="108"/>
      <c r="M60" s="108"/>
      <c r="N60" s="120"/>
    </row>
    <row r="61" spans="2:15" ht="21.5" hidden="1" customHeight="1">
      <c r="B61" s="655" t="s">
        <v>600</v>
      </c>
      <c r="C61" s="656" t="s">
        <v>589</v>
      </c>
      <c r="D61" s="943">
        <f>D71*0.0036</f>
        <v>128724.8796</v>
      </c>
      <c r="E61" s="944">
        <f t="shared" si="9"/>
        <v>113543.96399999999</v>
      </c>
      <c r="F61" s="945">
        <f t="shared" si="9"/>
        <v>112445.03879999999</v>
      </c>
      <c r="G61" s="945">
        <f t="shared" si="9"/>
        <v>120245.72039999999</v>
      </c>
      <c r="H61" s="946">
        <f t="shared" si="12"/>
        <v>0.13370077162358018</v>
      </c>
      <c r="I61" s="946">
        <f t="shared" si="13"/>
        <v>7.0515268001172124E-2</v>
      </c>
      <c r="K61" s="108"/>
      <c r="L61" s="108"/>
      <c r="M61" s="108"/>
      <c r="N61" s="120"/>
    </row>
    <row r="62" spans="2:15" ht="38.5" hidden="1" customHeight="1">
      <c r="B62" s="655" t="s">
        <v>602</v>
      </c>
      <c r="C62" s="656" t="s">
        <v>589</v>
      </c>
      <c r="D62" s="943">
        <f>D72*0.0036</f>
        <v>17558.9928</v>
      </c>
      <c r="E62" s="944">
        <f t="shared" si="8"/>
        <v>36505.631231999992</v>
      </c>
      <c r="F62" s="944">
        <f t="shared" si="8"/>
        <v>14707.9746</v>
      </c>
      <c r="G62" s="944" t="s">
        <v>604</v>
      </c>
      <c r="H62" s="946">
        <f t="shared" si="12"/>
        <v>-0.51900591203561508</v>
      </c>
      <c r="I62" s="946" t="e">
        <f t="shared" si="13"/>
        <v>#VALUE!</v>
      </c>
      <c r="K62" s="120"/>
      <c r="L62" s="120"/>
      <c r="M62" s="120"/>
      <c r="N62" s="120"/>
    </row>
    <row r="63" spans="2:15" ht="21.5" hidden="1" customHeight="1">
      <c r="B63" s="656" t="s">
        <v>605</v>
      </c>
      <c r="C63" s="656" t="s">
        <v>589</v>
      </c>
      <c r="D63" s="943">
        <f>D73*0.0036</f>
        <v>715191.09479999996</v>
      </c>
      <c r="E63" s="944">
        <f t="shared" si="8"/>
        <v>587419.38359999994</v>
      </c>
      <c r="F63" s="945">
        <f t="shared" si="8"/>
        <v>501251.95439999999</v>
      </c>
      <c r="G63" s="945">
        <f t="shared" si="8"/>
        <v>469925.43479999999</v>
      </c>
      <c r="H63" s="946">
        <f t="shared" si="12"/>
        <v>0.21751361083277682</v>
      </c>
      <c r="I63" s="946">
        <f t="shared" si="13"/>
        <v>0.5219246327970839</v>
      </c>
      <c r="K63" s="120"/>
      <c r="L63" s="120"/>
      <c r="M63" s="120"/>
      <c r="N63" s="120"/>
    </row>
    <row r="64" spans="2:15" ht="21.5" hidden="1" customHeight="1">
      <c r="B64" s="607"/>
      <c r="C64" s="968"/>
      <c r="D64" s="947"/>
      <c r="E64" s="947"/>
      <c r="F64" s="947"/>
      <c r="G64" s="947"/>
      <c r="H64" s="948"/>
      <c r="I64" s="948"/>
      <c r="J64" s="13"/>
      <c r="N64" s="120"/>
    </row>
    <row r="65" spans="2:17" ht="21.5" hidden="1" customHeight="1">
      <c r="B65" s="653" t="s">
        <v>587</v>
      </c>
      <c r="C65" s="656" t="s">
        <v>362</v>
      </c>
      <c r="D65" s="943">
        <v>1185612237</v>
      </c>
      <c r="E65" s="944">
        <v>1241805779</v>
      </c>
      <c r="F65" s="945">
        <v>1168337660</v>
      </c>
      <c r="G65" s="945">
        <v>1202121141</v>
      </c>
      <c r="H65" s="946">
        <f t="shared" ref="H65" si="14">(D65-E65)/E65</f>
        <v>-4.5251474063239962E-2</v>
      </c>
      <c r="I65" s="946">
        <f t="shared" ref="I65" si="15">(D65-G65)/G65</f>
        <v>-1.3733145052475207E-2</v>
      </c>
      <c r="J65" s="120"/>
      <c r="L65" s="65"/>
      <c r="M65" s="150"/>
    </row>
    <row r="66" spans="2:17" ht="15">
      <c r="B66" s="662" t="s">
        <v>590</v>
      </c>
      <c r="C66" s="656" t="s">
        <v>362</v>
      </c>
      <c r="D66" s="724">
        <v>484365692</v>
      </c>
      <c r="E66" s="912">
        <v>505969050</v>
      </c>
      <c r="F66" s="929">
        <v>481527362</v>
      </c>
      <c r="G66" s="929">
        <v>506297193</v>
      </c>
      <c r="H66" s="1008">
        <f t="shared" ref="H66:H73" si="16">(D66-E66)/E66</f>
        <v>-4.2696995003943423E-2</v>
      </c>
      <c r="I66" s="1008">
        <f t="shared" ref="I66:I73" si="17">(D66-G66)/G66</f>
        <v>-4.3317445372445508E-2</v>
      </c>
      <c r="J66" s="120"/>
      <c r="L66" s="65"/>
      <c r="M66" s="150"/>
    </row>
    <row r="67" spans="2:17" ht="15">
      <c r="B67" s="662" t="s">
        <v>592</v>
      </c>
      <c r="C67" s="656" t="s">
        <v>362</v>
      </c>
      <c r="D67" s="724">
        <v>619254390</v>
      </c>
      <c r="E67" s="912">
        <v>639981882</v>
      </c>
      <c r="F67" s="929">
        <v>601269960</v>
      </c>
      <c r="G67" s="929">
        <v>611505343</v>
      </c>
      <c r="H67" s="1008">
        <f t="shared" si="16"/>
        <v>-3.2387623123368361E-2</v>
      </c>
      <c r="I67" s="1008">
        <f t="shared" si="17"/>
        <v>1.2672083880712715E-2</v>
      </c>
      <c r="J67" s="120"/>
      <c r="L67" s="65"/>
      <c r="M67" s="150"/>
    </row>
    <row r="68" spans="2:17" ht="15">
      <c r="B68" s="662" t="s">
        <v>594</v>
      </c>
      <c r="C68" s="656" t="s">
        <v>362</v>
      </c>
      <c r="D68" s="724">
        <v>986948044</v>
      </c>
      <c r="E68" s="912">
        <v>1078633728</v>
      </c>
      <c r="F68" s="929">
        <v>1029101007</v>
      </c>
      <c r="G68" s="929">
        <v>1071586298</v>
      </c>
      <c r="H68" s="1008">
        <f t="shared" si="16"/>
        <v>-8.5001684649712708E-2</v>
      </c>
      <c r="I68" s="1008">
        <f t="shared" si="17"/>
        <v>-7.8984076371607356E-2</v>
      </c>
      <c r="J68" s="120"/>
      <c r="L68" s="65"/>
      <c r="M68" s="150"/>
    </row>
    <row r="69" spans="2:17" ht="15">
      <c r="B69" s="765" t="s">
        <v>596</v>
      </c>
      <c r="C69" s="656" t="s">
        <v>362</v>
      </c>
      <c r="D69" s="724">
        <v>687585698</v>
      </c>
      <c r="E69" s="912">
        <v>723767269</v>
      </c>
      <c r="F69" s="929">
        <v>683372029</v>
      </c>
      <c r="G69" s="929">
        <v>688983190</v>
      </c>
      <c r="H69" s="1008">
        <f t="shared" si="16"/>
        <v>-4.9990615146206618E-2</v>
      </c>
      <c r="I69" s="1008">
        <f t="shared" si="17"/>
        <v>-2.0283397625419568E-3</v>
      </c>
      <c r="J69" s="120"/>
      <c r="L69" s="599"/>
      <c r="M69" s="150"/>
    </row>
    <row r="70" spans="2:17" ht="15">
      <c r="B70" s="765" t="s">
        <v>598</v>
      </c>
      <c r="C70" s="656" t="s">
        <v>362</v>
      </c>
      <c r="D70" s="724">
        <v>258727938</v>
      </c>
      <c r="E70" s="912">
        <v>313186016</v>
      </c>
      <c r="F70" s="929">
        <v>310408696</v>
      </c>
      <c r="G70" s="929">
        <v>349201519</v>
      </c>
      <c r="H70" s="1008">
        <f t="shared" si="16"/>
        <v>-0.17388413025439808</v>
      </c>
      <c r="I70" s="1008">
        <f t="shared" si="17"/>
        <v>-0.25908702017988644</v>
      </c>
      <c r="J70" s="120"/>
      <c r="L70" s="599"/>
      <c r="M70" s="150"/>
    </row>
    <row r="71" spans="2:17" ht="15">
      <c r="B71" s="766" t="s">
        <v>600</v>
      </c>
      <c r="C71" s="656" t="s">
        <v>362</v>
      </c>
      <c r="D71" s="724">
        <v>35756911</v>
      </c>
      <c r="E71" s="912">
        <v>31539990</v>
      </c>
      <c r="F71" s="929">
        <v>31234733</v>
      </c>
      <c r="G71" s="929">
        <v>33401589</v>
      </c>
      <c r="H71" s="1008">
        <f t="shared" si="16"/>
        <v>0.1337007716235801</v>
      </c>
      <c r="I71" s="1008">
        <f t="shared" si="17"/>
        <v>7.0515268001172041E-2</v>
      </c>
      <c r="J71" s="120"/>
      <c r="L71" s="600"/>
      <c r="M71" s="150"/>
    </row>
    <row r="72" spans="2:17" ht="30">
      <c r="B72" s="766" t="s">
        <v>602</v>
      </c>
      <c r="C72" s="656" t="s">
        <v>362</v>
      </c>
      <c r="D72" s="724">
        <v>4877498</v>
      </c>
      <c r="E72" s="912">
        <v>10140453.119999999</v>
      </c>
      <c r="F72" s="929">
        <v>4085548.5</v>
      </c>
      <c r="G72" s="929">
        <f>G68-G69-G70-G71</f>
        <v>0</v>
      </c>
      <c r="H72" s="1008">
        <f t="shared" si="16"/>
        <v>-0.51900591203561519</v>
      </c>
      <c r="I72" s="1008"/>
      <c r="J72" s="120"/>
      <c r="L72" s="600"/>
      <c r="M72" s="150"/>
    </row>
    <row r="73" spans="2:17" ht="15">
      <c r="B73" s="767" t="s">
        <v>605</v>
      </c>
      <c r="C73" s="656" t="s">
        <v>362</v>
      </c>
      <c r="D73" s="724">
        <f>D74+D75</f>
        <v>198664193</v>
      </c>
      <c r="E73" s="949">
        <f>E74+E75</f>
        <v>163172051</v>
      </c>
      <c r="F73" s="949">
        <f>F74+F75</f>
        <v>139236654</v>
      </c>
      <c r="G73" s="949">
        <f>G74+G75</f>
        <v>130534843</v>
      </c>
      <c r="H73" s="1008">
        <f t="shared" si="16"/>
        <v>0.21751361083277676</v>
      </c>
      <c r="I73" s="1008">
        <f t="shared" si="17"/>
        <v>0.5219246327970839</v>
      </c>
      <c r="J73" s="120"/>
      <c r="L73" s="601"/>
      <c r="M73" s="150"/>
    </row>
    <row r="74" spans="2:17" ht="15">
      <c r="B74" s="768" t="s">
        <v>1107</v>
      </c>
      <c r="C74" s="656" t="s">
        <v>362</v>
      </c>
      <c r="D74" s="724">
        <v>198664193</v>
      </c>
      <c r="E74" s="912">
        <v>163172051</v>
      </c>
      <c r="F74" s="929">
        <v>139236654</v>
      </c>
      <c r="G74" s="929">
        <v>130534843</v>
      </c>
      <c r="H74" s="1008">
        <f t="shared" ref="H74" si="18">(D74-E74)/E74</f>
        <v>0.21751361083277676</v>
      </c>
      <c r="I74" s="1008">
        <f t="shared" ref="I74" si="19">(D74-G74)/G74</f>
        <v>0.5219246327970839</v>
      </c>
      <c r="J74" s="120"/>
      <c r="L74" s="601"/>
      <c r="M74" s="150"/>
    </row>
    <row r="75" spans="2:17" ht="15">
      <c r="B75" s="768" t="s">
        <v>1125</v>
      </c>
      <c r="C75" s="656" t="s">
        <v>362</v>
      </c>
      <c r="D75" s="950">
        <v>0</v>
      </c>
      <c r="E75" s="944">
        <v>0</v>
      </c>
      <c r="F75" s="944">
        <v>0</v>
      </c>
      <c r="G75" s="944">
        <v>0</v>
      </c>
      <c r="H75" s="1009"/>
      <c r="I75" s="1009"/>
      <c r="J75" s="120"/>
      <c r="L75" s="601"/>
      <c r="M75" s="150"/>
    </row>
    <row r="76" spans="2:17" ht="20.5" customHeight="1">
      <c r="C76" s="67"/>
      <c r="H76" s="1010"/>
      <c r="I76" s="1010"/>
    </row>
    <row r="77" spans="2:17" ht="19.5">
      <c r="B77" s="1124" t="s">
        <v>481</v>
      </c>
      <c r="C77" s="1111"/>
      <c r="D77" s="1112"/>
      <c r="E77" s="1112"/>
      <c r="F77" s="1112"/>
      <c r="G77" s="1376"/>
      <c r="H77" s="1376"/>
      <c r="I77" s="1376"/>
      <c r="K77" s="131"/>
      <c r="L77" s="131"/>
      <c r="M77" s="131"/>
      <c r="N77" s="131"/>
      <c r="O77" s="108"/>
      <c r="P77" s="108"/>
      <c r="Q77" s="108"/>
    </row>
    <row r="78" spans="2:17">
      <c r="B78" s="132"/>
      <c r="C78" s="969"/>
      <c r="D78" s="134"/>
      <c r="E78" s="135"/>
      <c r="F78" s="134"/>
      <c r="G78" s="134"/>
      <c r="H78" s="134"/>
    </row>
    <row r="79" spans="2:17" ht="39" customHeight="1">
      <c r="B79" s="901" t="s">
        <v>330</v>
      </c>
      <c r="C79" s="955" t="s">
        <v>426</v>
      </c>
      <c r="D79" s="902" t="s">
        <v>427</v>
      </c>
      <c r="E79" s="1122" t="s">
        <v>412</v>
      </c>
      <c r="F79" s="1123" t="s">
        <v>406</v>
      </c>
      <c r="G79" s="1123" t="s">
        <v>409</v>
      </c>
      <c r="H79" s="951" t="str">
        <f>H17</f>
        <v>Performance against prior year</v>
      </c>
      <c r="I79" s="951" t="str">
        <f>I17</f>
        <v>Performance against 2019/20 baseline</v>
      </c>
    </row>
    <row r="80" spans="2:17" ht="17.5">
      <c r="B80" s="673" t="s">
        <v>482</v>
      </c>
      <c r="C80" s="970"/>
      <c r="D80" s="729"/>
      <c r="E80" s="729"/>
      <c r="F80" s="729"/>
      <c r="G80" s="729"/>
      <c r="H80" s="911"/>
      <c r="I80" s="911"/>
    </row>
    <row r="81" spans="2:10" ht="15.5">
      <c r="B81" s="769" t="s">
        <v>483</v>
      </c>
      <c r="C81" s="968" t="s">
        <v>485</v>
      </c>
      <c r="D81" s="739">
        <v>1705818</v>
      </c>
      <c r="E81" s="912">
        <v>1815379</v>
      </c>
      <c r="F81" s="629">
        <v>1698159</v>
      </c>
      <c r="G81" s="629">
        <v>1849211</v>
      </c>
      <c r="H81" s="913">
        <f>(D81-E81)/E81</f>
        <v>-6.0351584985834913E-2</v>
      </c>
      <c r="I81" s="913">
        <f>(D81-G81)/G81</f>
        <v>-7.7542800686346766E-2</v>
      </c>
      <c r="J81" s="136"/>
    </row>
    <row r="82" spans="2:10" ht="15.5">
      <c r="B82" s="770" t="s">
        <v>486</v>
      </c>
      <c r="C82" s="968" t="s">
        <v>485</v>
      </c>
      <c r="D82" s="739">
        <v>0</v>
      </c>
      <c r="E82" s="914">
        <v>0</v>
      </c>
      <c r="F82" s="731">
        <v>0</v>
      </c>
      <c r="G82" s="731">
        <v>0</v>
      </c>
      <c r="H82" s="913"/>
      <c r="I82" s="913"/>
    </row>
    <row r="83" spans="2:10" ht="15.5">
      <c r="B83" s="770" t="s">
        <v>488</v>
      </c>
      <c r="C83" s="968" t="s">
        <v>485</v>
      </c>
      <c r="D83" s="739">
        <v>95060</v>
      </c>
      <c r="E83" s="914">
        <v>95150</v>
      </c>
      <c r="F83" s="732">
        <v>78886</v>
      </c>
      <c r="G83" s="732">
        <v>72326</v>
      </c>
      <c r="H83" s="913">
        <f>(D83-E83)/E83</f>
        <v>-9.4587493431424064E-4</v>
      </c>
      <c r="I83" s="913">
        <f>(D83-G83)/G83</f>
        <v>0.31432679810856401</v>
      </c>
    </row>
    <row r="84" spans="2:10" ht="15.5">
      <c r="B84" s="630" t="s">
        <v>366</v>
      </c>
      <c r="C84" s="971" t="s">
        <v>492</v>
      </c>
      <c r="D84" s="739">
        <f>SUM(D81:D83)</f>
        <v>1800878</v>
      </c>
      <c r="E84" s="631">
        <f>SUM(E81:E83)</f>
        <v>1910529</v>
      </c>
      <c r="F84" s="631">
        <f>SUM(F81:F83)</f>
        <v>1777045</v>
      </c>
      <c r="G84" s="631">
        <f>SUM(G81:G83)</f>
        <v>1921537</v>
      </c>
      <c r="H84" s="913">
        <f>(D84-E84)/E84</f>
        <v>-5.7393004764648953E-2</v>
      </c>
      <c r="I84" s="913">
        <f>(D84-G84)/G84</f>
        <v>-6.2792962092325044E-2</v>
      </c>
    </row>
    <row r="85" spans="2:10" ht="17.5">
      <c r="B85" s="673" t="s">
        <v>1011</v>
      </c>
      <c r="C85" s="970"/>
      <c r="D85" s="739"/>
      <c r="E85" s="729"/>
      <c r="F85" s="729"/>
      <c r="G85" s="729"/>
      <c r="H85" s="913"/>
      <c r="I85" s="913"/>
    </row>
    <row r="86" spans="2:10" ht="34.5" customHeight="1">
      <c r="B86" s="652" t="s">
        <v>631</v>
      </c>
      <c r="C86" s="971" t="s">
        <v>492</v>
      </c>
      <c r="D86" s="739">
        <v>48993</v>
      </c>
      <c r="E86" s="733">
        <v>77174</v>
      </c>
      <c r="F86" s="733">
        <v>65976</v>
      </c>
      <c r="G86" s="733">
        <v>72194</v>
      </c>
      <c r="H86" s="913">
        <f>(D86-E86)/E86</f>
        <v>-0.36516184207116387</v>
      </c>
      <c r="I86" s="913">
        <f>(D86-G86)/G86</f>
        <v>-0.32137019696927721</v>
      </c>
    </row>
    <row r="87" spans="2:10" ht="20.5" customHeight="1">
      <c r="B87" s="630" t="s">
        <v>1126</v>
      </c>
      <c r="C87" s="971" t="s">
        <v>1127</v>
      </c>
      <c r="D87" s="739">
        <f>D88-D86</f>
        <v>1306858</v>
      </c>
      <c r="E87" s="631">
        <f>E88-E86</f>
        <v>1322391</v>
      </c>
      <c r="F87" s="631">
        <f>F88-F86</f>
        <v>1440312</v>
      </c>
      <c r="G87" s="631">
        <f>G88-G86</f>
        <v>1321893</v>
      </c>
      <c r="H87" s="913">
        <f t="shared" ref="H87:H88" si="20">(D87-E87)/E87</f>
        <v>-1.1746147697617422E-2</v>
      </c>
      <c r="I87" s="913">
        <f t="shared" ref="I87:I88" si="21">(D87-G87)/G87</f>
        <v>-1.137384039404097E-2</v>
      </c>
    </row>
    <row r="88" spans="2:10" ht="20.5" customHeight="1">
      <c r="B88" s="771" t="s">
        <v>503</v>
      </c>
      <c r="C88" s="972" t="s">
        <v>505</v>
      </c>
      <c r="D88" s="739">
        <v>1355851</v>
      </c>
      <c r="E88" s="734">
        <v>1399565</v>
      </c>
      <c r="F88" s="734">
        <v>1506288</v>
      </c>
      <c r="G88" s="734">
        <v>1394087</v>
      </c>
      <c r="H88" s="913">
        <f t="shared" si="20"/>
        <v>-3.1233990561352992E-2</v>
      </c>
      <c r="I88" s="913">
        <f t="shared" si="21"/>
        <v>-2.7427269603690446E-2</v>
      </c>
    </row>
    <row r="89" spans="2:10" ht="15">
      <c r="B89" s="137"/>
      <c r="C89" s="973"/>
      <c r="D89" s="740"/>
      <c r="E89" s="735"/>
      <c r="F89" s="735"/>
      <c r="G89" s="735"/>
      <c r="H89" s="915"/>
      <c r="I89" s="916"/>
    </row>
    <row r="90" spans="2:10" ht="17.5">
      <c r="B90" s="673" t="s">
        <v>633</v>
      </c>
      <c r="C90" s="970"/>
      <c r="D90" s="739"/>
      <c r="E90" s="736"/>
      <c r="F90" s="729"/>
      <c r="G90" s="729"/>
      <c r="H90" s="917"/>
      <c r="I90" s="918"/>
    </row>
    <row r="91" spans="2:10" ht="15">
      <c r="B91" s="668" t="s">
        <v>369</v>
      </c>
      <c r="C91" s="974" t="s">
        <v>370</v>
      </c>
      <c r="D91" s="725">
        <v>242</v>
      </c>
      <c r="E91" s="919">
        <v>220</v>
      </c>
      <c r="F91" s="919">
        <v>112</v>
      </c>
      <c r="G91" s="919">
        <v>104</v>
      </c>
      <c r="H91" s="917"/>
      <c r="I91" s="920"/>
    </row>
    <row r="92" spans="2:10" ht="15">
      <c r="B92" s="668" t="s">
        <v>371</v>
      </c>
      <c r="C92" s="974" t="s">
        <v>357</v>
      </c>
      <c r="D92" s="903">
        <v>0.75</v>
      </c>
      <c r="E92" s="921">
        <v>0.78</v>
      </c>
      <c r="F92" s="921">
        <v>0.8</v>
      </c>
      <c r="G92" s="921">
        <v>0.7</v>
      </c>
      <c r="H92" s="915"/>
      <c r="I92" s="922"/>
    </row>
    <row r="93" spans="2:10" ht="15">
      <c r="B93" s="772"/>
      <c r="C93" s="973"/>
      <c r="D93" s="904"/>
      <c r="E93" s="923"/>
      <c r="F93" s="923"/>
      <c r="G93" s="923"/>
      <c r="H93" s="915"/>
      <c r="I93" s="922"/>
    </row>
    <row r="94" spans="2:10" ht="17.5">
      <c r="B94" s="673" t="s">
        <v>496</v>
      </c>
      <c r="C94" s="970"/>
      <c r="D94" s="739"/>
      <c r="E94" s="729"/>
      <c r="F94" s="729"/>
      <c r="G94" s="729"/>
      <c r="H94" s="911"/>
      <c r="I94" s="911"/>
    </row>
    <row r="95" spans="2:10" ht="15.5">
      <c r="B95" s="670" t="s">
        <v>368</v>
      </c>
      <c r="C95" s="974" t="s">
        <v>499</v>
      </c>
      <c r="D95" s="739">
        <f>(D84-D86)/1000</f>
        <v>1751.885</v>
      </c>
      <c r="E95" s="737">
        <f>(E84-E86)/1000</f>
        <v>1833.355</v>
      </c>
      <c r="F95" s="737">
        <f>(F84-F86)/1000</f>
        <v>1711.069</v>
      </c>
      <c r="G95" s="737">
        <f>(G84-G86)/1000</f>
        <v>1849.3430000000001</v>
      </c>
      <c r="H95" s="913">
        <f>(D95-E95)/E95</f>
        <v>-4.4437656645876018E-2</v>
      </c>
      <c r="I95" s="913">
        <f>(D95-G95)/G95</f>
        <v>-5.2698715165331735E-2</v>
      </c>
    </row>
    <row r="96" spans="2:10" ht="15.5">
      <c r="B96" s="651" t="s">
        <v>372</v>
      </c>
      <c r="C96" s="975" t="s">
        <v>501</v>
      </c>
      <c r="D96" s="739">
        <f>399174/1000</f>
        <v>399.17399999999998</v>
      </c>
      <c r="E96" s="723">
        <f>421595/1000</f>
        <v>421.59500000000003</v>
      </c>
      <c r="F96" s="723">
        <f>406037/1000</f>
        <v>406.03699999999998</v>
      </c>
      <c r="G96" s="732"/>
      <c r="H96" s="924"/>
      <c r="I96" s="911"/>
    </row>
    <row r="97" spans="2:10" ht="15">
      <c r="B97" s="651" t="s">
        <v>1012</v>
      </c>
      <c r="C97" s="975" t="s">
        <v>357</v>
      </c>
      <c r="D97" s="751">
        <f>D96/D95</f>
        <v>0.22785399726580224</v>
      </c>
      <c r="E97" s="738">
        <f t="shared" ref="E97:F97" si="22">E96/E95</f>
        <v>0.22995819140319251</v>
      </c>
      <c r="F97" s="738">
        <f t="shared" si="22"/>
        <v>0.23730019069949837</v>
      </c>
      <c r="G97" s="732"/>
      <c r="H97" s="924"/>
      <c r="I97" s="911"/>
    </row>
    <row r="98" spans="2:10">
      <c r="B98" s="143"/>
      <c r="C98" s="976"/>
      <c r="D98" s="145"/>
      <c r="E98" s="145"/>
      <c r="F98" s="146"/>
      <c r="G98" s="146"/>
      <c r="H98" s="146"/>
      <c r="I98" s="925"/>
      <c r="J98" s="142"/>
    </row>
    <row r="99" spans="2:10" ht="35.4" customHeight="1">
      <c r="B99" s="901" t="s">
        <v>110</v>
      </c>
      <c r="C99" s="955" t="s">
        <v>426</v>
      </c>
      <c r="D99" s="902" t="s">
        <v>427</v>
      </c>
      <c r="E99" s="1122" t="s">
        <v>412</v>
      </c>
      <c r="F99" s="1123" t="s">
        <v>406</v>
      </c>
      <c r="G99" s="1123" t="s">
        <v>409</v>
      </c>
      <c r="H99" s="951" t="str">
        <f>H79</f>
        <v>Performance against prior year</v>
      </c>
      <c r="I99" s="951" t="str">
        <f>I79</f>
        <v>Performance against 2019/20 baseline</v>
      </c>
    </row>
    <row r="100" spans="2:10" ht="30" customHeight="1">
      <c r="B100" s="674" t="s">
        <v>1096</v>
      </c>
      <c r="C100" s="977"/>
      <c r="D100" s="730"/>
      <c r="E100" s="730"/>
      <c r="F100" s="730"/>
      <c r="G100" s="730"/>
      <c r="H100" s="924"/>
      <c r="I100" s="926"/>
    </row>
    <row r="101" spans="2:10" ht="15">
      <c r="B101" s="773" t="s">
        <v>510</v>
      </c>
      <c r="C101" s="656" t="s">
        <v>374</v>
      </c>
      <c r="D101" s="1128">
        <v>38519.699999999997</v>
      </c>
      <c r="E101" s="742">
        <v>45151.199999999997</v>
      </c>
      <c r="F101" s="742">
        <v>41025</v>
      </c>
      <c r="G101" s="743">
        <v>40016.699999999997</v>
      </c>
      <c r="H101" s="913">
        <f t="shared" ref="H101:H106" si="23">(D101-E101)/E101</f>
        <v>-0.1468731728060384</v>
      </c>
      <c r="I101" s="913">
        <f t="shared" ref="I101:I106" si="24">(D101-G101)/G101</f>
        <v>-3.7409381583189023E-2</v>
      </c>
    </row>
    <row r="102" spans="2:10" ht="15">
      <c r="B102" s="774" t="s">
        <v>512</v>
      </c>
      <c r="C102" s="656" t="s">
        <v>374</v>
      </c>
      <c r="D102" s="1128">
        <v>3340</v>
      </c>
      <c r="E102" s="744">
        <v>2639.7</v>
      </c>
      <c r="F102" s="744">
        <v>2622.3</v>
      </c>
      <c r="G102" s="743">
        <v>2469</v>
      </c>
      <c r="H102" s="913">
        <f t="shared" si="23"/>
        <v>0.26529529870818663</v>
      </c>
      <c r="I102" s="913">
        <f t="shared" si="24"/>
        <v>0.35277440259214254</v>
      </c>
    </row>
    <row r="103" spans="2:10" ht="15">
      <c r="B103" s="774" t="s">
        <v>514</v>
      </c>
      <c r="C103" s="656" t="s">
        <v>374</v>
      </c>
      <c r="D103" s="1128">
        <v>7058.7</v>
      </c>
      <c r="E103" s="744">
        <v>8560.2999999999993</v>
      </c>
      <c r="F103" s="744">
        <v>7013</v>
      </c>
      <c r="G103" s="743">
        <v>7815</v>
      </c>
      <c r="H103" s="913">
        <f t="shared" si="23"/>
        <v>-0.1754144130462717</v>
      </c>
      <c r="I103" s="913">
        <f t="shared" si="24"/>
        <v>-9.6775431861804248E-2</v>
      </c>
    </row>
    <row r="104" spans="2:10" ht="15">
      <c r="B104" s="774" t="s">
        <v>516</v>
      </c>
      <c r="C104" s="656" t="s">
        <v>374</v>
      </c>
      <c r="D104" s="1128">
        <v>13967</v>
      </c>
      <c r="E104" s="744">
        <v>15289.7</v>
      </c>
      <c r="F104" s="744">
        <v>11538</v>
      </c>
      <c r="G104" s="743">
        <v>13630</v>
      </c>
      <c r="H104" s="913">
        <f t="shared" si="23"/>
        <v>-8.6509218624302678E-2</v>
      </c>
      <c r="I104" s="913">
        <f t="shared" si="24"/>
        <v>2.4724871606749816E-2</v>
      </c>
    </row>
    <row r="105" spans="2:10" ht="15">
      <c r="B105" s="668" t="s">
        <v>379</v>
      </c>
      <c r="C105" s="975" t="s">
        <v>374</v>
      </c>
      <c r="D105" s="1129">
        <f>D101+D102</f>
        <v>41859.699999999997</v>
      </c>
      <c r="E105" s="745">
        <f t="shared" ref="E105:G105" si="25">E101+E102</f>
        <v>47790.899999999994</v>
      </c>
      <c r="F105" s="745">
        <f t="shared" si="25"/>
        <v>43647.3</v>
      </c>
      <c r="G105" s="737">
        <f t="shared" si="25"/>
        <v>42485.7</v>
      </c>
      <c r="H105" s="913">
        <f t="shared" si="23"/>
        <v>-0.12410730913207321</v>
      </c>
      <c r="I105" s="913">
        <f t="shared" si="24"/>
        <v>-1.4734369446660877E-2</v>
      </c>
    </row>
    <row r="106" spans="2:10" ht="15">
      <c r="B106" s="670" t="s">
        <v>373</v>
      </c>
      <c r="C106" s="975" t="s">
        <v>374</v>
      </c>
      <c r="D106" s="1129">
        <f>SUM(D101:D104)</f>
        <v>62885.399999999994</v>
      </c>
      <c r="E106" s="746">
        <f>SUM(E101:E104)</f>
        <v>71640.899999999994</v>
      </c>
      <c r="F106" s="746">
        <f>SUM(F101:F104)</f>
        <v>62198.3</v>
      </c>
      <c r="G106" s="746">
        <f>SUM(G101:G104)</f>
        <v>63930.7</v>
      </c>
      <c r="H106" s="913">
        <f t="shared" si="23"/>
        <v>-0.12221370753298745</v>
      </c>
      <c r="I106" s="913">
        <f t="shared" si="24"/>
        <v>-1.6350517044237008E-2</v>
      </c>
    </row>
    <row r="107" spans="2:10" ht="15">
      <c r="B107" s="137"/>
      <c r="C107" s="978"/>
      <c r="D107" s="1130"/>
      <c r="E107" s="747"/>
      <c r="F107" s="747"/>
      <c r="G107" s="747"/>
      <c r="H107" s="752"/>
      <c r="I107" s="927"/>
      <c r="J107" s="141"/>
    </row>
    <row r="108" spans="2:10" ht="17.5">
      <c r="B108" s="674" t="s">
        <v>1095</v>
      </c>
      <c r="C108" s="977"/>
      <c r="D108" s="730"/>
      <c r="E108" s="730"/>
      <c r="F108" s="730"/>
      <c r="G108" s="730"/>
      <c r="H108" s="725"/>
      <c r="I108" s="751"/>
    </row>
    <row r="109" spans="2:10" ht="15">
      <c r="B109" s="773" t="s">
        <v>636</v>
      </c>
      <c r="C109" s="656" t="s">
        <v>374</v>
      </c>
      <c r="D109" s="748">
        <v>1057</v>
      </c>
      <c r="E109" s="742">
        <v>1020</v>
      </c>
      <c r="F109" s="742">
        <v>1031</v>
      </c>
      <c r="G109" s="743">
        <v>720</v>
      </c>
      <c r="H109" s="913">
        <f t="shared" ref="H109:H114" si="26">(D109-E109)/E109</f>
        <v>3.6274509803921572E-2</v>
      </c>
      <c r="I109" s="913">
        <f t="shared" ref="I109:I114" si="27">(D109-G109)/G109</f>
        <v>0.46805555555555556</v>
      </c>
    </row>
    <row r="110" spans="2:10" ht="15">
      <c r="B110" s="774" t="s">
        <v>638</v>
      </c>
      <c r="C110" s="656" t="s">
        <v>374</v>
      </c>
      <c r="D110" s="748">
        <v>36873</v>
      </c>
      <c r="E110" s="744">
        <v>38277</v>
      </c>
      <c r="F110" s="744">
        <v>23390</v>
      </c>
      <c r="G110" s="743">
        <v>19452</v>
      </c>
      <c r="H110" s="913">
        <f t="shared" si="26"/>
        <v>-3.6679990594874208E-2</v>
      </c>
      <c r="I110" s="913">
        <f t="shared" si="27"/>
        <v>0.89558914250462673</v>
      </c>
    </row>
    <row r="111" spans="2:10" ht="15">
      <c r="B111" s="774" t="s">
        <v>1160</v>
      </c>
      <c r="C111" s="656" t="s">
        <v>374</v>
      </c>
      <c r="D111" s="748">
        <v>1075</v>
      </c>
      <c r="E111" s="744">
        <v>2041.2</v>
      </c>
      <c r="F111" s="744">
        <v>1022.8</v>
      </c>
      <c r="G111" s="743">
        <v>1697.5</v>
      </c>
      <c r="H111" s="913">
        <f t="shared" si="26"/>
        <v>-0.47334901038604743</v>
      </c>
      <c r="I111" s="913">
        <f t="shared" si="27"/>
        <v>-0.36671575846833576</v>
      </c>
    </row>
    <row r="112" spans="2:10" ht="15">
      <c r="B112" s="774" t="s">
        <v>641</v>
      </c>
      <c r="C112" s="656" t="s">
        <v>374</v>
      </c>
      <c r="D112" s="748">
        <v>19533</v>
      </c>
      <c r="E112" s="744">
        <v>26161.200000000001</v>
      </c>
      <c r="F112" s="744">
        <v>33579.4</v>
      </c>
      <c r="G112" s="743">
        <v>38975.899999999994</v>
      </c>
      <c r="H112" s="913">
        <f t="shared" si="26"/>
        <v>-0.2533599376175405</v>
      </c>
      <c r="I112" s="913">
        <f t="shared" si="27"/>
        <v>-0.49884415754350758</v>
      </c>
    </row>
    <row r="113" spans="2:15" ht="15">
      <c r="B113" s="668" t="s">
        <v>539</v>
      </c>
      <c r="C113" s="975" t="s">
        <v>374</v>
      </c>
      <c r="D113" s="905">
        <v>4347</v>
      </c>
      <c r="E113" s="928">
        <v>4141.8999999999996</v>
      </c>
      <c r="F113" s="928">
        <v>3174.8</v>
      </c>
      <c r="G113" s="928">
        <v>3085.8</v>
      </c>
      <c r="H113" s="913">
        <f t="shared" si="26"/>
        <v>4.9518336995098958E-2</v>
      </c>
      <c r="I113" s="913">
        <f t="shared" si="27"/>
        <v>0.40871086914252375</v>
      </c>
    </row>
    <row r="114" spans="2:15" ht="15">
      <c r="B114" s="670" t="s">
        <v>373</v>
      </c>
      <c r="C114" s="975" t="s">
        <v>374</v>
      </c>
      <c r="D114" s="739">
        <f>SUM(D109:D113)</f>
        <v>62885</v>
      </c>
      <c r="E114" s="734">
        <f t="shared" ref="E114:G114" si="28">SUM(E109:E113)</f>
        <v>71641.299999999988</v>
      </c>
      <c r="F114" s="734">
        <f t="shared" si="28"/>
        <v>62198</v>
      </c>
      <c r="G114" s="734">
        <f t="shared" si="28"/>
        <v>63931.199999999997</v>
      </c>
      <c r="H114" s="913">
        <f t="shared" si="26"/>
        <v>-0.12222419191164859</v>
      </c>
      <c r="I114" s="913">
        <f t="shared" si="27"/>
        <v>-1.6364466801811903E-2</v>
      </c>
    </row>
    <row r="115" spans="2:15" s="544" customFormat="1" ht="25.5" hidden="1" customHeight="1">
      <c r="B115" s="1498" t="s">
        <v>520</v>
      </c>
      <c r="C115" s="1499"/>
      <c r="D115" s="1542">
        <f>38520+3340+7059+13967</f>
        <v>62886</v>
      </c>
      <c r="E115" s="1500"/>
      <c r="F115" s="1500"/>
      <c r="G115" s="1500"/>
      <c r="H115" s="1501"/>
      <c r="I115" s="1501"/>
    </row>
    <row r="116" spans="2:15" s="544" customFormat="1" hidden="1">
      <c r="B116" s="1502" t="s">
        <v>521</v>
      </c>
      <c r="C116" s="1503" t="s">
        <v>374</v>
      </c>
      <c r="D116" s="1543">
        <v>848</v>
      </c>
      <c r="E116" s="1504">
        <v>1744</v>
      </c>
      <c r="F116" s="1504">
        <v>885</v>
      </c>
      <c r="G116" s="1504">
        <v>1497.1</v>
      </c>
      <c r="H116" s="1501"/>
      <c r="I116" s="1501"/>
      <c r="K116" s="1505" t="s">
        <v>635</v>
      </c>
      <c r="L116" s="1505"/>
      <c r="M116" s="1505"/>
    </row>
    <row r="117" spans="2:15" s="544" customFormat="1" ht="33" hidden="1" customHeight="1">
      <c r="B117" s="1502" t="s">
        <v>523</v>
      </c>
      <c r="C117" s="1503" t="s">
        <v>374</v>
      </c>
      <c r="D117" s="1543">
        <v>3871</v>
      </c>
      <c r="E117" s="1504">
        <v>6885</v>
      </c>
      <c r="F117" s="1504">
        <v>5365</v>
      </c>
      <c r="G117" s="1504">
        <v>4991.7</v>
      </c>
      <c r="H117" s="1501"/>
      <c r="I117" s="1506"/>
      <c r="K117" s="1505"/>
      <c r="L117" s="1507" t="s">
        <v>427</v>
      </c>
      <c r="M117" s="1508" t="s">
        <v>412</v>
      </c>
      <c r="N117" s="1505"/>
      <c r="O117" s="1505"/>
    </row>
    <row r="118" spans="2:15" s="544" customFormat="1" ht="27" hidden="1" customHeight="1">
      <c r="B118" s="1502" t="s">
        <v>525</v>
      </c>
      <c r="C118" s="1503" t="s">
        <v>374</v>
      </c>
      <c r="D118" s="1543">
        <v>2038</v>
      </c>
      <c r="E118" s="1504">
        <v>2785</v>
      </c>
      <c r="F118" s="1504">
        <v>1549</v>
      </c>
      <c r="G118" s="1504">
        <v>1444.1</v>
      </c>
      <c r="H118" s="1501"/>
      <c r="I118" s="1501"/>
      <c r="K118" s="1505" t="s">
        <v>636</v>
      </c>
      <c r="L118" s="1509">
        <f>D127+D128</f>
        <v>1057</v>
      </c>
      <c r="M118" s="1509">
        <f>E127+E128</f>
        <v>1020</v>
      </c>
      <c r="N118" s="1507" t="s">
        <v>406</v>
      </c>
      <c r="O118" s="1507" t="s">
        <v>409</v>
      </c>
    </row>
    <row r="119" spans="2:15" s="544" customFormat="1" ht="15.5" hidden="1">
      <c r="B119" s="1510" t="s">
        <v>1187</v>
      </c>
      <c r="C119" s="1511" t="s">
        <v>374</v>
      </c>
      <c r="D119" s="1544">
        <f>D116+D117+D118</f>
        <v>6757</v>
      </c>
      <c r="E119" s="1513">
        <f>E116+E117+E118</f>
        <v>11414</v>
      </c>
      <c r="F119" s="1513">
        <f>F116+F117+F118</f>
        <v>7799</v>
      </c>
      <c r="G119" s="1513">
        <f>G116+G117+G118</f>
        <v>7932.9</v>
      </c>
      <c r="H119" s="1501"/>
      <c r="I119" s="1501"/>
      <c r="K119" s="1505" t="s">
        <v>638</v>
      </c>
      <c r="L119" s="1509">
        <f>D129+D130</f>
        <v>36873</v>
      </c>
      <c r="M119" s="1509">
        <f>E129+E130</f>
        <v>38277</v>
      </c>
      <c r="N119" s="1509">
        <f>F127+F128</f>
        <v>1031</v>
      </c>
      <c r="O119" s="1509">
        <f>G127+G128</f>
        <v>720</v>
      </c>
    </row>
    <row r="120" spans="2:15" s="1531" customFormat="1" ht="15">
      <c r="B120" s="1527" t="s">
        <v>529</v>
      </c>
      <c r="C120" s="1528" t="s">
        <v>374</v>
      </c>
      <c r="D120" s="1545">
        <v>227</v>
      </c>
      <c r="E120" s="1529">
        <v>297.2</v>
      </c>
      <c r="F120" s="1529">
        <v>137.80000000000001</v>
      </c>
      <c r="G120" s="1529">
        <v>200.4</v>
      </c>
      <c r="H120" s="1530"/>
      <c r="I120" s="1530"/>
      <c r="K120" s="1532" t="s">
        <v>639</v>
      </c>
      <c r="L120" s="1533">
        <f>D116+D120</f>
        <v>1075</v>
      </c>
      <c r="M120" s="1533">
        <f>E116+E120</f>
        <v>2041.2</v>
      </c>
      <c r="N120" s="1533">
        <f>F129+F130</f>
        <v>23390</v>
      </c>
      <c r="O120" s="1533">
        <f>G129+G130</f>
        <v>19452</v>
      </c>
    </row>
    <row r="121" spans="2:15" s="1531" customFormat="1" ht="15">
      <c r="B121" s="1527" t="s">
        <v>640</v>
      </c>
      <c r="C121" s="1528" t="s">
        <v>374</v>
      </c>
      <c r="D121" s="1545">
        <v>15662</v>
      </c>
      <c r="E121" s="1529">
        <v>19276.2</v>
      </c>
      <c r="F121" s="1529">
        <v>28214.400000000001</v>
      </c>
      <c r="G121" s="1529">
        <v>33984.199999999997</v>
      </c>
      <c r="H121" s="1530"/>
      <c r="I121" s="1530"/>
      <c r="K121" s="1532" t="s">
        <v>641</v>
      </c>
      <c r="L121" s="1533">
        <f>D117+D121</f>
        <v>19533</v>
      </c>
      <c r="M121" s="1533">
        <f>E117+E121</f>
        <v>26161.200000000001</v>
      </c>
      <c r="N121" s="1533">
        <f t="shared" ref="N121:O122" si="29">F116+F120</f>
        <v>1022.8</v>
      </c>
      <c r="O121" s="1533">
        <f t="shared" si="29"/>
        <v>1697.5</v>
      </c>
    </row>
    <row r="122" spans="2:15" s="1531" customFormat="1" ht="15">
      <c r="B122" s="1527" t="s">
        <v>533</v>
      </c>
      <c r="C122" s="1528" t="s">
        <v>374</v>
      </c>
      <c r="D122" s="1545">
        <v>2309</v>
      </c>
      <c r="E122" s="1529">
        <v>1356.9</v>
      </c>
      <c r="F122" s="1529">
        <v>1625.8</v>
      </c>
      <c r="G122" s="1529">
        <v>1641.7</v>
      </c>
      <c r="H122" s="1530"/>
      <c r="I122" s="1530"/>
      <c r="K122" s="1532" t="s">
        <v>642</v>
      </c>
      <c r="L122" s="1533">
        <f>D125</f>
        <v>4347</v>
      </c>
      <c r="M122" s="1533">
        <f>E125</f>
        <v>4141.8999999999996</v>
      </c>
      <c r="N122" s="1533">
        <f t="shared" si="29"/>
        <v>33579.4</v>
      </c>
      <c r="O122" s="1533">
        <f t="shared" si="29"/>
        <v>38975.899999999994</v>
      </c>
    </row>
    <row r="123" spans="2:15" s="1531" customFormat="1" ht="15">
      <c r="B123" s="1534" t="s">
        <v>535</v>
      </c>
      <c r="C123" s="1535" t="s">
        <v>374</v>
      </c>
      <c r="D123" s="1546">
        <f>D120+D121+D122</f>
        <v>18198</v>
      </c>
      <c r="E123" s="1536">
        <f>E120+E121+E122</f>
        <v>20930.300000000003</v>
      </c>
      <c r="F123" s="1536">
        <f>F120+F121+F122</f>
        <v>29978</v>
      </c>
      <c r="G123" s="1536">
        <f>G120+G121+G122</f>
        <v>35826.299999999996</v>
      </c>
      <c r="H123" s="1530"/>
      <c r="I123" s="1530"/>
      <c r="K123" s="1532" t="s">
        <v>643</v>
      </c>
      <c r="L123" s="1533">
        <f>D106</f>
        <v>62885.399999999994</v>
      </c>
      <c r="M123" s="1533">
        <f>E106</f>
        <v>71640.899999999994</v>
      </c>
      <c r="N123" s="1533">
        <f>F125</f>
        <v>3174.8</v>
      </c>
      <c r="O123" s="1533">
        <f>G125</f>
        <v>3085.8</v>
      </c>
    </row>
    <row r="124" spans="2:15" s="544" customFormat="1" ht="23.5" hidden="1" customHeight="1">
      <c r="B124" s="1510" t="s">
        <v>537</v>
      </c>
      <c r="C124" s="1511" t="s">
        <v>374</v>
      </c>
      <c r="D124" s="1544">
        <f>D123+D119</f>
        <v>24955</v>
      </c>
      <c r="E124" s="1513">
        <f>E123+E119</f>
        <v>32344.300000000003</v>
      </c>
      <c r="F124" s="1513">
        <f>F123+F119</f>
        <v>37777</v>
      </c>
      <c r="G124" s="1513">
        <f>G123+G119</f>
        <v>43759.199999999997</v>
      </c>
      <c r="H124" s="1501"/>
      <c r="I124" s="1501"/>
      <c r="N124" s="1509">
        <f>F106</f>
        <v>62198.3</v>
      </c>
      <c r="O124" s="1509">
        <f>G106</f>
        <v>63930.7</v>
      </c>
    </row>
    <row r="125" spans="2:15" s="544" customFormat="1" ht="23.5" hidden="1" customHeight="1">
      <c r="B125" s="1510" t="s">
        <v>375</v>
      </c>
      <c r="C125" s="1511" t="s">
        <v>374</v>
      </c>
      <c r="D125" s="1544">
        <f>D122+D118</f>
        <v>4347</v>
      </c>
      <c r="E125" s="1513">
        <f>E122+E118</f>
        <v>4141.8999999999996</v>
      </c>
      <c r="F125" s="1513">
        <f>F122+F118</f>
        <v>3174.8</v>
      </c>
      <c r="G125" s="1513">
        <f>G122+G118</f>
        <v>3085.8</v>
      </c>
      <c r="H125" s="1501"/>
      <c r="I125" s="1501"/>
      <c r="J125" s="1514"/>
      <c r="K125" s="1514"/>
      <c r="L125" s="1514"/>
      <c r="M125" s="1514"/>
    </row>
    <row r="126" spans="2:15" s="544" customFormat="1" ht="23.5" hidden="1" customHeight="1">
      <c r="B126" s="1515" t="s">
        <v>541</v>
      </c>
      <c r="C126" s="1516"/>
      <c r="D126" s="1544"/>
      <c r="E126" s="1512"/>
      <c r="F126" s="1512"/>
      <c r="G126" s="1512"/>
      <c r="H126" s="1501"/>
      <c r="I126" s="1501"/>
    </row>
    <row r="127" spans="2:15" s="544" customFormat="1" hidden="1">
      <c r="B127" s="1517" t="s">
        <v>644</v>
      </c>
      <c r="C127" s="1503" t="s">
        <v>374</v>
      </c>
      <c r="D127" s="1543">
        <v>137</v>
      </c>
      <c r="E127" s="1504">
        <v>127</v>
      </c>
      <c r="F127" s="1504">
        <v>106</v>
      </c>
      <c r="G127" s="1504">
        <v>127</v>
      </c>
      <c r="H127" s="1501"/>
      <c r="I127" s="1501"/>
    </row>
    <row r="128" spans="2:15" s="544" customFormat="1" hidden="1">
      <c r="B128" s="1517" t="s">
        <v>645</v>
      </c>
      <c r="C128" s="1503" t="s">
        <v>374</v>
      </c>
      <c r="D128" s="1543">
        <v>920</v>
      </c>
      <c r="E128" s="1504">
        <v>893</v>
      </c>
      <c r="F128" s="1504">
        <v>925</v>
      </c>
      <c r="G128" s="1504">
        <v>593</v>
      </c>
      <c r="H128" s="1501"/>
      <c r="I128" s="1501"/>
    </row>
    <row r="129" spans="2:9" s="544" customFormat="1" hidden="1">
      <c r="B129" s="1517" t="s">
        <v>546</v>
      </c>
      <c r="C129" s="1503" t="s">
        <v>374</v>
      </c>
      <c r="D129" s="1543">
        <v>14130</v>
      </c>
      <c r="E129" s="1504">
        <v>12309</v>
      </c>
      <c r="F129" s="1504">
        <v>10646</v>
      </c>
      <c r="G129" s="1504">
        <v>13385</v>
      </c>
      <c r="H129" s="1501"/>
      <c r="I129" s="1501"/>
    </row>
    <row r="130" spans="2:9" s="544" customFormat="1" hidden="1">
      <c r="B130" s="1517" t="s">
        <v>548</v>
      </c>
      <c r="C130" s="1503" t="s">
        <v>374</v>
      </c>
      <c r="D130" s="1543">
        <v>22743</v>
      </c>
      <c r="E130" s="1504">
        <v>25968</v>
      </c>
      <c r="F130" s="1504">
        <v>12744</v>
      </c>
      <c r="G130" s="1504">
        <v>6067</v>
      </c>
      <c r="H130" s="1501"/>
      <c r="I130" s="1501"/>
    </row>
    <row r="131" spans="2:9" s="544" customFormat="1" hidden="1">
      <c r="B131" s="1518" t="s">
        <v>550</v>
      </c>
      <c r="C131" s="1511" t="s">
        <v>374</v>
      </c>
      <c r="D131" s="1544">
        <f>D127+D128+D129+D130</f>
        <v>37930</v>
      </c>
      <c r="E131" s="1513">
        <f>E127+E128+E129+E130</f>
        <v>39297</v>
      </c>
      <c r="F131" s="1513">
        <f t="shared" ref="F131:G131" si="30">F127+F128+F129+F130</f>
        <v>24421</v>
      </c>
      <c r="G131" s="1513">
        <f t="shared" si="30"/>
        <v>20172</v>
      </c>
      <c r="H131" s="1519"/>
      <c r="I131" s="1519"/>
    </row>
    <row r="132" spans="2:9" s="544" customFormat="1" ht="35.5" hidden="1" customHeight="1">
      <c r="B132" s="1517" t="s">
        <v>647</v>
      </c>
      <c r="C132" s="1503" t="s">
        <v>357</v>
      </c>
      <c r="D132" s="1547">
        <f>D127/D106</f>
        <v>2.1785660900622405E-3</v>
      </c>
      <c r="E132" s="1520">
        <f>E127/E106</f>
        <v>1.7727303816674554E-3</v>
      </c>
      <c r="F132" s="1520">
        <f>F127/F106</f>
        <v>1.7042266428503672E-3</v>
      </c>
      <c r="G132" s="1520">
        <f>G127/G106</f>
        <v>1.9865260352225143E-3</v>
      </c>
      <c r="H132" s="1521"/>
      <c r="I132" s="1521"/>
    </row>
    <row r="133" spans="2:9" s="544" customFormat="1" hidden="1">
      <c r="B133" s="1522" t="s">
        <v>648</v>
      </c>
      <c r="C133" s="1523" t="s">
        <v>357</v>
      </c>
      <c r="D133" s="1547">
        <f>D128/D106</f>
        <v>1.4629786882169789E-2</v>
      </c>
      <c r="E133" s="1520">
        <f>E128/E106</f>
        <v>1.2464946699441242E-2</v>
      </c>
      <c r="F133" s="1520">
        <f>F128/F106</f>
        <v>1.4871789100345185E-2</v>
      </c>
      <c r="G133" s="1520">
        <f>G128/G106</f>
        <v>9.2756688101334733E-3</v>
      </c>
      <c r="H133" s="1501"/>
      <c r="I133" s="1501"/>
    </row>
    <row r="134" spans="2:9" s="544" customFormat="1" hidden="1">
      <c r="B134" s="1522" t="s">
        <v>649</v>
      </c>
      <c r="C134" s="1523" t="s">
        <v>357</v>
      </c>
      <c r="D134" s="1547">
        <f>D131/D106</f>
        <v>0.60316067004423923</v>
      </c>
      <c r="E134" s="1520">
        <f>E131/E106</f>
        <v>0.54852744731012593</v>
      </c>
      <c r="F134" s="1520">
        <f>F131/F106</f>
        <v>0.39263130985895112</v>
      </c>
      <c r="G134" s="1520">
        <f>G131/G106</f>
        <v>0.31552915891739025</v>
      </c>
      <c r="H134" s="1501"/>
      <c r="I134" s="1501"/>
    </row>
    <row r="135" spans="2:9" s="65" customFormat="1" ht="17.5">
      <c r="B135" s="253" t="s">
        <v>556</v>
      </c>
      <c r="C135" s="979"/>
      <c r="D135" s="1544"/>
      <c r="E135" s="248"/>
      <c r="F135" s="248"/>
      <c r="G135" s="248"/>
      <c r="H135" s="933"/>
      <c r="I135" s="933"/>
    </row>
    <row r="136" spans="2:9" s="1531" customFormat="1" ht="15">
      <c r="B136" s="1537" t="s">
        <v>377</v>
      </c>
      <c r="C136" s="1528" t="s">
        <v>374</v>
      </c>
      <c r="D136" s="1545">
        <f>D102+D104</f>
        <v>17307</v>
      </c>
      <c r="E136" s="1538">
        <f>E102+E104</f>
        <v>17929.400000000001</v>
      </c>
      <c r="F136" s="1538">
        <f>F102+F104</f>
        <v>14160.3</v>
      </c>
      <c r="G136" s="1538">
        <f>G102+G104</f>
        <v>16099</v>
      </c>
      <c r="H136" s="1530"/>
      <c r="I136" s="1530"/>
    </row>
    <row r="137" spans="2:9" s="1531" customFormat="1" ht="15">
      <c r="B137" s="1537" t="s">
        <v>650</v>
      </c>
      <c r="C137" s="1528" t="s">
        <v>374</v>
      </c>
      <c r="D137" s="1548">
        <v>500</v>
      </c>
      <c r="E137" s="1539">
        <v>531</v>
      </c>
      <c r="F137" s="1539">
        <v>421</v>
      </c>
      <c r="G137" s="1539">
        <v>221</v>
      </c>
      <c r="H137" s="1530"/>
      <c r="I137" s="1530"/>
    </row>
    <row r="138" spans="2:9" s="1531" customFormat="1" ht="15">
      <c r="B138" s="1537" t="s">
        <v>651</v>
      </c>
      <c r="C138" s="1528" t="s">
        <v>374</v>
      </c>
      <c r="D138" s="1548">
        <v>12438</v>
      </c>
      <c r="E138" s="1539">
        <v>11970</v>
      </c>
      <c r="F138" s="1539">
        <v>10278</v>
      </c>
      <c r="G138" s="1539">
        <v>11791</v>
      </c>
      <c r="H138" s="1530"/>
      <c r="I138" s="1530"/>
    </row>
    <row r="139" spans="2:9" s="1531" customFormat="1" ht="15">
      <c r="B139" s="1540" t="s">
        <v>376</v>
      </c>
      <c r="C139" s="1528" t="s">
        <v>374</v>
      </c>
      <c r="D139" s="1546">
        <f>D136-D137-D138</f>
        <v>4369</v>
      </c>
      <c r="E139" s="1541">
        <f t="shared" ref="E139:G139" si="31">E136-E137-E138</f>
        <v>5428.4000000000015</v>
      </c>
      <c r="F139" s="1541">
        <f t="shared" si="31"/>
        <v>3461.2999999999993</v>
      </c>
      <c r="G139" s="1541">
        <f t="shared" si="31"/>
        <v>4087</v>
      </c>
      <c r="H139" s="1530"/>
      <c r="I139" s="1530"/>
    </row>
    <row r="140" spans="2:9" s="1531" customFormat="1" ht="15">
      <c r="B140" s="1537" t="s">
        <v>1188</v>
      </c>
      <c r="C140" s="1528" t="s">
        <v>374</v>
      </c>
      <c r="D140" s="1545">
        <v>2787</v>
      </c>
      <c r="E140" s="1538">
        <v>2792</v>
      </c>
      <c r="F140" s="1538">
        <v>1870</v>
      </c>
      <c r="G140" s="1538">
        <v>1815</v>
      </c>
      <c r="H140" s="1530"/>
      <c r="I140" s="1530"/>
    </row>
    <row r="141" spans="2:9" s="1531" customFormat="1" ht="15">
      <c r="B141" s="1537" t="s">
        <v>1189</v>
      </c>
      <c r="C141" s="1528" t="s">
        <v>374</v>
      </c>
      <c r="D141" s="1545">
        <v>1009</v>
      </c>
      <c r="E141" s="1538">
        <v>1933</v>
      </c>
      <c r="F141" s="1538">
        <v>939</v>
      </c>
      <c r="G141" s="1538">
        <v>1533</v>
      </c>
      <c r="H141" s="1530"/>
      <c r="I141" s="1530"/>
    </row>
    <row r="142" spans="2:9" s="1531" customFormat="1" ht="15">
      <c r="B142" s="1537" t="s">
        <v>1190</v>
      </c>
      <c r="C142" s="1528" t="s">
        <v>374</v>
      </c>
      <c r="D142" s="1545">
        <v>573</v>
      </c>
      <c r="E142" s="1538">
        <v>704</v>
      </c>
      <c r="F142" s="1538">
        <v>653</v>
      </c>
      <c r="G142" s="1538">
        <v>738</v>
      </c>
      <c r="H142" s="1530"/>
      <c r="I142" s="1530"/>
    </row>
    <row r="143" spans="2:9" s="544" customFormat="1">
      <c r="B143" s="1524"/>
      <c r="C143" s="1525"/>
      <c r="D143" s="1526"/>
      <c r="E143" s="1526"/>
      <c r="F143" s="1526"/>
      <c r="G143" s="1526"/>
      <c r="H143" s="1501"/>
      <c r="I143" s="1501"/>
    </row>
    <row r="144" spans="2:9" ht="17.5">
      <c r="B144" s="1127" t="s">
        <v>1097</v>
      </c>
      <c r="C144" s="964" t="s">
        <v>426</v>
      </c>
      <c r="D144" s="902" t="s">
        <v>427</v>
      </c>
      <c r="E144" s="1122" t="s">
        <v>412</v>
      </c>
      <c r="F144" s="1123" t="s">
        <v>406</v>
      </c>
      <c r="G144" s="1123" t="s">
        <v>409</v>
      </c>
      <c r="H144" s="925"/>
      <c r="I144" s="925"/>
    </row>
    <row r="145" spans="2:16" ht="17">
      <c r="B145" s="662" t="s">
        <v>1146</v>
      </c>
      <c r="C145" s="656" t="s">
        <v>374</v>
      </c>
      <c r="D145" s="906">
        <v>336</v>
      </c>
      <c r="E145" s="929">
        <v>358</v>
      </c>
      <c r="F145" s="929">
        <v>338</v>
      </c>
      <c r="G145" s="929">
        <v>320</v>
      </c>
      <c r="H145" s="925"/>
      <c r="I145" s="925"/>
    </row>
    <row r="146" spans="2:16" ht="17">
      <c r="B146" s="662" t="s">
        <v>1147</v>
      </c>
      <c r="C146" s="656" t="s">
        <v>374</v>
      </c>
      <c r="D146" s="906">
        <v>31</v>
      </c>
      <c r="E146" s="929">
        <v>73</v>
      </c>
      <c r="F146" s="929">
        <v>42</v>
      </c>
      <c r="G146" s="929">
        <v>16</v>
      </c>
      <c r="H146" s="925"/>
      <c r="I146" s="925"/>
    </row>
    <row r="147" spans="2:16" ht="15">
      <c r="B147" s="662" t="s">
        <v>382</v>
      </c>
      <c r="C147" s="656" t="s">
        <v>374</v>
      </c>
      <c r="D147" s="906">
        <v>42</v>
      </c>
      <c r="E147" s="929">
        <v>50</v>
      </c>
      <c r="F147" s="929">
        <v>39</v>
      </c>
      <c r="G147" s="929">
        <v>47</v>
      </c>
      <c r="H147" s="925"/>
      <c r="I147" s="925"/>
    </row>
    <row r="148" spans="2:16" ht="17">
      <c r="B148" s="662" t="s">
        <v>1148</v>
      </c>
      <c r="C148" s="656" t="s">
        <v>357</v>
      </c>
      <c r="D148" s="903">
        <v>0.86</v>
      </c>
      <c r="E148" s="930">
        <v>0.85</v>
      </c>
      <c r="F148" s="931">
        <v>0.85</v>
      </c>
      <c r="G148" s="931">
        <v>0.82</v>
      </c>
      <c r="H148" s="925"/>
      <c r="I148" s="925"/>
    </row>
    <row r="149" spans="2:16" ht="17">
      <c r="B149" s="775" t="s">
        <v>1149</v>
      </c>
      <c r="C149" s="656" t="s">
        <v>357</v>
      </c>
      <c r="D149" s="903">
        <v>0.36</v>
      </c>
      <c r="E149" s="930">
        <v>0.34</v>
      </c>
      <c r="F149" s="931">
        <v>0.36</v>
      </c>
      <c r="G149" s="931">
        <v>0.32</v>
      </c>
      <c r="H149" s="925"/>
      <c r="I149" s="925"/>
    </row>
    <row r="150" spans="2:16" ht="15">
      <c r="B150" s="775" t="s">
        <v>385</v>
      </c>
      <c r="C150" s="656" t="s">
        <v>357</v>
      </c>
      <c r="D150" s="903">
        <v>0.56999999999999995</v>
      </c>
      <c r="E150" s="930">
        <v>0.56000000000000005</v>
      </c>
      <c r="F150" s="931">
        <v>0.54</v>
      </c>
      <c r="G150" s="931">
        <v>0.53</v>
      </c>
      <c r="H150" s="925"/>
      <c r="I150" s="925"/>
    </row>
    <row r="151" spans="2:16">
      <c r="B151" s="127"/>
      <c r="C151" s="601"/>
      <c r="D151" s="907"/>
      <c r="E151" s="932"/>
      <c r="F151" s="932"/>
      <c r="G151" s="933"/>
      <c r="H151" s="925"/>
      <c r="I151" s="925"/>
    </row>
    <row r="152" spans="2:16" ht="17.5">
      <c r="B152" s="1126" t="s">
        <v>966</v>
      </c>
      <c r="C152" s="955" t="s">
        <v>426</v>
      </c>
      <c r="D152" s="908" t="str">
        <f>D35</f>
        <v>2022/23</v>
      </c>
      <c r="E152" s="1121" t="str">
        <f>E35</f>
        <v>2021/22</v>
      </c>
      <c r="F152" s="1121" t="str">
        <f>F35</f>
        <v>2020/21</v>
      </c>
      <c r="G152" s="1121" t="str">
        <f>G35</f>
        <v>2019/20</v>
      </c>
      <c r="H152" s="934"/>
      <c r="I152" s="934"/>
      <c r="J152" s="129"/>
      <c r="K152" s="108"/>
      <c r="P152" s="108"/>
    </row>
    <row r="153" spans="2:16" ht="15">
      <c r="B153" s="774" t="s">
        <v>965</v>
      </c>
      <c r="C153" s="962" t="s">
        <v>968</v>
      </c>
      <c r="D153" s="721">
        <v>108126</v>
      </c>
      <c r="E153" s="744">
        <v>109536</v>
      </c>
      <c r="F153" s="744">
        <v>106223</v>
      </c>
      <c r="G153" s="744">
        <v>113152</v>
      </c>
      <c r="H153" s="934"/>
      <c r="I153" s="934"/>
      <c r="J153" s="129"/>
      <c r="K153" s="108"/>
      <c r="P153" s="108"/>
    </row>
    <row r="154" spans="2:16" hidden="1">
      <c r="B154" s="644" t="s">
        <v>1075</v>
      </c>
      <c r="C154" s="962" t="s">
        <v>1081</v>
      </c>
      <c r="D154" s="909">
        <v>14933</v>
      </c>
      <c r="E154" s="663">
        <v>16025</v>
      </c>
      <c r="F154" s="663">
        <v>15435</v>
      </c>
      <c r="G154" s="663">
        <v>14577</v>
      </c>
      <c r="H154" s="141"/>
      <c r="I154" s="141"/>
      <c r="J154" s="129"/>
      <c r="K154" s="108"/>
      <c r="P154" s="108"/>
    </row>
    <row r="155" spans="2:16">
      <c r="B155" s="126"/>
      <c r="C155" s="961"/>
      <c r="D155" s="910"/>
      <c r="E155" s="127"/>
      <c r="F155" s="127"/>
      <c r="G155" s="128"/>
      <c r="H155" s="128"/>
      <c r="I155" s="128"/>
      <c r="J155" s="129"/>
      <c r="K155" s="129"/>
    </row>
    <row r="156" spans="2:16" ht="17.5">
      <c r="B156" s="901" t="s">
        <v>615</v>
      </c>
      <c r="C156" s="964" t="s">
        <v>426</v>
      </c>
      <c r="D156" s="902" t="s">
        <v>427</v>
      </c>
      <c r="P156" s="108"/>
    </row>
    <row r="157" spans="2:16" ht="15">
      <c r="B157" s="662" t="s">
        <v>617</v>
      </c>
      <c r="C157" s="656" t="s">
        <v>619</v>
      </c>
      <c r="D157" s="750">
        <v>0</v>
      </c>
    </row>
    <row r="158" spans="2:16"/>
    <row r="159" spans="2:16"/>
    <row r="160" spans="2:16"/>
    <row r="161" spans="8:11"/>
    <row r="162" spans="8:11"/>
    <row r="163" spans="8:11">
      <c r="H163" s="108"/>
    </row>
    <row r="164" spans="8:11">
      <c r="K164" s="108"/>
    </row>
    <row r="165" spans="8:11"/>
  </sheetData>
  <sheetProtection algorithmName="SHA-512" hashValue="fNywcb7nl7ERqVy3+CJa0MOxoJIKXl4c09l3tCfU1oWJRjbq+Wxz6vkPhMkB4WgWOb1AMcKVid0f0/DLD3vd7Q==" saltValue="85lvXUl72LzYn1fUApHtvg==" spinCount="100000" sheet="1" objects="1" scenarios="1"/>
  <mergeCells count="5">
    <mergeCell ref="B4:H4"/>
    <mergeCell ref="G77:I77"/>
    <mergeCell ref="G6:I6"/>
    <mergeCell ref="B8:B9"/>
    <mergeCell ref="C8:C9"/>
  </mergeCells>
  <phoneticPr fontId="3" type="noConversion"/>
  <pageMargins left="0.23622047244094491" right="0.23622047244094491" top="0.74803149606299213" bottom="0.74803149606299213" header="0.31496062992125984" footer="0.31496062992125984"/>
  <pageSetup paperSize="9" scale="53" fitToHeight="0" orientation="landscape" r:id="rId1"/>
  <rowBreaks count="2" manualBreakCount="2">
    <brk id="42" min="1" max="8" man="1"/>
    <brk id="98" min="1" max="8"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853C5-3E4C-400D-86F1-0714C04F89B5}">
  <sheetPr>
    <tabColor theme="7"/>
    <pageSetUpPr fitToPage="1"/>
  </sheetPr>
  <dimension ref="A1:R202"/>
  <sheetViews>
    <sheetView zoomScale="80" zoomScaleNormal="80" workbookViewId="0">
      <selection activeCell="F113" sqref="F113"/>
    </sheetView>
  </sheetViews>
  <sheetFormatPr defaultColWidth="8.81640625" defaultRowHeight="13.5" customHeight="1"/>
  <cols>
    <col min="1" max="1" width="4.7265625" style="2" customWidth="1"/>
    <col min="2" max="2" width="95.81640625" style="15" bestFit="1" customWidth="1"/>
    <col min="3" max="3" width="15.54296875" style="15" customWidth="1"/>
    <col min="4" max="4" width="14.81640625" style="15" customWidth="1"/>
    <col min="5" max="5" width="15.453125" style="15" customWidth="1"/>
    <col min="6" max="6" width="15.1796875" style="15" customWidth="1"/>
    <col min="7" max="8" width="14.81640625" style="15" customWidth="1"/>
    <col min="9" max="9" width="16.81640625" style="15" customWidth="1"/>
    <col min="10" max="11" width="14.81640625" style="15" customWidth="1"/>
    <col min="12" max="12" width="14.453125" style="15" customWidth="1"/>
    <col min="13" max="13" width="6.81640625" style="15" hidden="1" customWidth="1"/>
    <col min="14" max="14" width="7.1796875" style="15" customWidth="1"/>
    <col min="15" max="15" width="9.1796875" style="15" customWidth="1"/>
    <col min="16" max="18" width="9.1796875" style="2" customWidth="1"/>
    <col min="19" max="16384" width="8.81640625" style="2"/>
  </cols>
  <sheetData>
    <row r="1" spans="1:18" ht="13.5" customHeight="1">
      <c r="A1" s="66"/>
    </row>
    <row r="2" spans="1:18" ht="34">
      <c r="A2" s="66"/>
      <c r="B2" s="705" t="s">
        <v>15</v>
      </c>
      <c r="C2" s="705"/>
      <c r="D2" s="705"/>
      <c r="E2" s="705"/>
      <c r="F2" s="705"/>
      <c r="G2" s="705"/>
      <c r="H2" s="705"/>
      <c r="I2" s="705"/>
      <c r="J2" s="705"/>
      <c r="K2" s="705"/>
      <c r="L2" s="705"/>
      <c r="M2" s="705"/>
      <c r="N2" s="705"/>
      <c r="O2" s="705"/>
      <c r="P2" s="705"/>
      <c r="Q2" s="705"/>
      <c r="R2" s="705"/>
    </row>
    <row r="3" spans="1:18" ht="46.5" customHeight="1"/>
    <row r="4" spans="1:18" ht="26" customHeight="1">
      <c r="B4" s="1416" t="s">
        <v>1177</v>
      </c>
      <c r="C4" s="1416"/>
      <c r="D4" s="1416"/>
      <c r="E4" s="1416"/>
      <c r="F4" s="1416"/>
      <c r="G4" s="1416"/>
      <c r="H4" s="1416"/>
      <c r="I4" s="1416"/>
      <c r="J4" s="1416"/>
      <c r="K4" s="1416"/>
      <c r="L4" s="1416"/>
      <c r="M4" s="706"/>
      <c r="O4" s="706"/>
    </row>
    <row r="5" spans="1:18" ht="22.25" customHeight="1">
      <c r="B5" s="495"/>
      <c r="C5" s="495"/>
      <c r="D5" s="495"/>
      <c r="E5" s="495"/>
      <c r="F5" s="495"/>
      <c r="G5" s="495"/>
      <c r="H5" s="495"/>
      <c r="I5" s="495"/>
      <c r="J5" s="495"/>
      <c r="K5" s="495"/>
      <c r="L5" s="495"/>
      <c r="M5" s="495"/>
      <c r="O5" s="495"/>
    </row>
    <row r="6" spans="1:18" ht="17.5">
      <c r="B6" s="1131" t="s">
        <v>1180</v>
      </c>
      <c r="C6" s="1102" t="s">
        <v>427</v>
      </c>
      <c r="D6" s="1132" t="s">
        <v>412</v>
      </c>
      <c r="E6" s="1132" t="s">
        <v>406</v>
      </c>
      <c r="F6" s="67"/>
      <c r="G6" s="67"/>
      <c r="H6" s="67"/>
      <c r="I6" s="67"/>
      <c r="J6" s="67"/>
      <c r="K6" s="67"/>
      <c r="L6" s="67"/>
      <c r="O6" s="2"/>
    </row>
    <row r="7" spans="1:18" ht="16.5">
      <c r="B7" s="625" t="s">
        <v>1179</v>
      </c>
      <c r="C7" s="749">
        <f>C8+C9+C10</f>
        <v>14472</v>
      </c>
      <c r="D7" s="805">
        <f>D8+D9+D10</f>
        <v>14345</v>
      </c>
      <c r="E7" s="805">
        <f>E8+E9+E10</f>
        <v>14583</v>
      </c>
      <c r="F7" s="67"/>
      <c r="G7" s="67"/>
      <c r="H7" s="67"/>
      <c r="I7" s="67"/>
      <c r="J7" s="67"/>
      <c r="K7" s="67"/>
      <c r="L7" s="67"/>
      <c r="N7" s="67"/>
      <c r="O7" s="2"/>
    </row>
    <row r="8" spans="1:18" ht="15">
      <c r="B8" s="1205" t="s">
        <v>667</v>
      </c>
      <c r="C8" s="722">
        <f>E37</f>
        <v>12638</v>
      </c>
      <c r="D8" s="627">
        <f>H37</f>
        <v>13430</v>
      </c>
      <c r="E8" s="627">
        <f>K37</f>
        <v>13641</v>
      </c>
      <c r="F8" s="67"/>
      <c r="G8" s="67"/>
      <c r="H8" s="67"/>
      <c r="I8" s="67"/>
      <c r="J8" s="67"/>
      <c r="K8" s="67"/>
      <c r="L8" s="67"/>
      <c r="N8" s="67"/>
      <c r="O8" s="2"/>
    </row>
    <row r="9" spans="1:18" ht="15">
      <c r="B9" s="1205" t="s">
        <v>668</v>
      </c>
      <c r="C9" s="806">
        <v>949</v>
      </c>
      <c r="D9" s="1047"/>
      <c r="E9" s="1047"/>
      <c r="F9" s="67"/>
      <c r="G9" s="67"/>
      <c r="H9" s="67"/>
      <c r="I9" s="67"/>
      <c r="J9" s="67"/>
      <c r="K9" s="67"/>
      <c r="L9" s="67"/>
      <c r="N9" s="67"/>
      <c r="O9" s="2"/>
    </row>
    <row r="10" spans="1:18" ht="15">
      <c r="B10" s="1205" t="s">
        <v>785</v>
      </c>
      <c r="C10" s="806">
        <v>885</v>
      </c>
      <c r="D10" s="807">
        <v>915</v>
      </c>
      <c r="E10" s="807">
        <v>942</v>
      </c>
      <c r="F10" s="495"/>
      <c r="G10" s="495"/>
      <c r="H10" s="495"/>
      <c r="I10" s="495"/>
      <c r="J10" s="495"/>
      <c r="K10" s="495"/>
      <c r="L10" s="495"/>
      <c r="M10" s="495"/>
      <c r="N10" s="495"/>
      <c r="O10" s="2"/>
    </row>
    <row r="11" spans="1:18" ht="15" hidden="1">
      <c r="B11" s="630" t="s">
        <v>1078</v>
      </c>
      <c r="C11" s="631">
        <v>12666</v>
      </c>
      <c r="D11" s="631">
        <v>13497</v>
      </c>
      <c r="E11" s="631">
        <v>13546</v>
      </c>
      <c r="F11" s="67"/>
      <c r="G11" s="67"/>
      <c r="H11" s="67"/>
      <c r="I11" s="67"/>
      <c r="J11" s="67"/>
      <c r="K11" s="67"/>
      <c r="L11" s="67"/>
      <c r="N11" s="67"/>
      <c r="O11" s="2"/>
    </row>
    <row r="12" spans="1:18" ht="15" hidden="1">
      <c r="B12" s="626" t="s">
        <v>1077</v>
      </c>
      <c r="C12" s="628">
        <v>12510</v>
      </c>
      <c r="D12" s="632" t="s">
        <v>25</v>
      </c>
      <c r="E12" s="632" t="s">
        <v>25</v>
      </c>
      <c r="F12" s="67"/>
      <c r="G12" s="67"/>
      <c r="H12" s="67"/>
      <c r="I12" s="67"/>
      <c r="J12" s="67"/>
      <c r="K12" s="67"/>
      <c r="L12" s="67"/>
      <c r="N12" s="67"/>
      <c r="O12" s="2"/>
    </row>
    <row r="13" spans="1:18" ht="15" hidden="1" customHeight="1">
      <c r="B13" s="15" t="s">
        <v>1082</v>
      </c>
      <c r="C13" s="587"/>
      <c r="D13" s="588"/>
      <c r="E13" s="589"/>
      <c r="F13" s="589"/>
      <c r="G13" s="495"/>
      <c r="H13" s="495"/>
      <c r="I13" s="495"/>
      <c r="J13" s="495"/>
      <c r="K13" s="495"/>
      <c r="L13" s="495"/>
      <c r="M13" s="495"/>
      <c r="N13" s="495"/>
      <c r="O13" s="495"/>
    </row>
    <row r="14" spans="1:18" ht="9" customHeight="1">
      <c r="B14" s="67"/>
      <c r="C14" s="67"/>
      <c r="D14" s="67"/>
      <c r="E14" s="67"/>
      <c r="F14" s="67"/>
      <c r="G14" s="67"/>
      <c r="H14" s="67"/>
      <c r="I14" s="67"/>
      <c r="J14" s="67"/>
      <c r="K14" s="67"/>
      <c r="L14" s="67"/>
      <c r="M14" s="67"/>
      <c r="N14" s="67"/>
      <c r="O14" s="67"/>
    </row>
    <row r="15" spans="1:18" ht="29.5" customHeight="1">
      <c r="B15" s="1133" t="s">
        <v>1145</v>
      </c>
      <c r="C15" s="1392" t="s">
        <v>427</v>
      </c>
      <c r="D15" s="1392"/>
      <c r="E15" s="1392"/>
      <c r="F15" s="1393" t="s">
        <v>412</v>
      </c>
      <c r="G15" s="1393"/>
      <c r="H15" s="1393"/>
      <c r="I15" s="1393" t="s">
        <v>406</v>
      </c>
      <c r="J15" s="1393"/>
      <c r="K15" s="1393"/>
      <c r="L15" s="1389" t="s">
        <v>1176</v>
      </c>
      <c r="M15" s="1390" t="s">
        <v>712</v>
      </c>
      <c r="N15" s="67"/>
      <c r="O15" s="67"/>
    </row>
    <row r="16" spans="1:18" ht="26" customHeight="1">
      <c r="A16" s="15"/>
      <c r="B16" s="605" t="s">
        <v>713</v>
      </c>
      <c r="C16" s="608" t="s">
        <v>714</v>
      </c>
      <c r="D16" s="608" t="s">
        <v>715</v>
      </c>
      <c r="E16" s="608" t="s">
        <v>480</v>
      </c>
      <c r="F16" s="608" t="s">
        <v>714</v>
      </c>
      <c r="G16" s="608" t="s">
        <v>715</v>
      </c>
      <c r="H16" s="608" t="s">
        <v>480</v>
      </c>
      <c r="I16" s="608" t="s">
        <v>714</v>
      </c>
      <c r="J16" s="608" t="s">
        <v>715</v>
      </c>
      <c r="K16" s="608" t="s">
        <v>480</v>
      </c>
      <c r="L16" s="1389"/>
      <c r="M16" s="1391"/>
      <c r="N16" s="99" t="s">
        <v>716</v>
      </c>
      <c r="O16" s="2"/>
    </row>
    <row r="17" spans="2:17" ht="15" hidden="1">
      <c r="B17" s="609" t="s">
        <v>717</v>
      </c>
      <c r="C17" s="610"/>
      <c r="D17" s="610"/>
      <c r="E17" s="610"/>
      <c r="F17" s="610"/>
      <c r="G17" s="610"/>
      <c r="H17" s="610"/>
      <c r="I17" s="610"/>
      <c r="J17" s="610"/>
      <c r="K17" s="610"/>
      <c r="L17" s="693"/>
      <c r="M17" s="99"/>
      <c r="N17" s="99"/>
      <c r="O17" s="2"/>
    </row>
    <row r="18" spans="2:17" ht="15" hidden="1">
      <c r="B18" s="618" t="s">
        <v>718</v>
      </c>
      <c r="C18" s="619">
        <v>1116</v>
      </c>
      <c r="D18" s="619">
        <v>2798</v>
      </c>
      <c r="E18" s="619">
        <f>SUM(C18:D18)</f>
        <v>3914</v>
      </c>
      <c r="F18" s="1413">
        <v>2333</v>
      </c>
      <c r="G18" s="1413">
        <v>4901</v>
      </c>
      <c r="H18" s="1413">
        <f>SUM(F18:G18)</f>
        <v>7234</v>
      </c>
      <c r="I18" s="1413">
        <v>2344</v>
      </c>
      <c r="J18" s="1413">
        <v>5229</v>
      </c>
      <c r="K18" s="1413">
        <f>I18+J18</f>
        <v>7573</v>
      </c>
      <c r="L18" s="693">
        <f t="shared" ref="L18:L23" si="0">C18/E18</f>
        <v>0.28513030148185997</v>
      </c>
      <c r="M18" s="1414"/>
      <c r="N18" s="1414"/>
      <c r="O18" s="2" t="str">
        <f>B18</f>
        <v xml:space="preserve">UK </v>
      </c>
      <c r="P18" s="95">
        <f>E18+E25</f>
        <v>4079</v>
      </c>
    </row>
    <row r="19" spans="2:17" ht="15" hidden="1">
      <c r="B19" s="618" t="s">
        <v>720</v>
      </c>
      <c r="C19" s="619">
        <v>1088</v>
      </c>
      <c r="D19" s="619">
        <v>1602</v>
      </c>
      <c r="E19" s="619">
        <f>SUM(C19:D19)</f>
        <v>2690</v>
      </c>
      <c r="F19" s="1413"/>
      <c r="G19" s="1413"/>
      <c r="H19" s="1413"/>
      <c r="I19" s="1413"/>
      <c r="J19" s="1413"/>
      <c r="K19" s="1413"/>
      <c r="L19" s="693">
        <f t="shared" si="0"/>
        <v>0.40446096654275093</v>
      </c>
      <c r="M19" s="1415"/>
      <c r="N19" s="1415"/>
      <c r="O19" s="2" t="str">
        <f>B19</f>
        <v>Rest of Europe</v>
      </c>
      <c r="P19" s="95">
        <f>E19+E26</f>
        <v>2858</v>
      </c>
    </row>
    <row r="20" spans="2:17" ht="15" hidden="1">
      <c r="B20" s="618" t="s">
        <v>721</v>
      </c>
      <c r="C20" s="619">
        <v>554</v>
      </c>
      <c r="D20" s="619">
        <v>1606</v>
      </c>
      <c r="E20" s="619">
        <f>SUM(C20:D20)</f>
        <v>2160</v>
      </c>
      <c r="F20" s="619">
        <v>685</v>
      </c>
      <c r="G20" s="619">
        <v>2076</v>
      </c>
      <c r="H20" s="619">
        <f>SUM(F20:G20)</f>
        <v>2761</v>
      </c>
      <c r="I20" s="619">
        <v>660</v>
      </c>
      <c r="J20" s="619">
        <v>2078</v>
      </c>
      <c r="K20" s="619">
        <f>I20+J20</f>
        <v>2738</v>
      </c>
      <c r="L20" s="693">
        <f t="shared" si="0"/>
        <v>0.25648148148148148</v>
      </c>
      <c r="M20" s="101"/>
      <c r="N20" s="101"/>
      <c r="O20" s="2" t="str">
        <f>B20</f>
        <v>North America</v>
      </c>
      <c r="P20" s="95">
        <f>E20+E27</f>
        <v>2186</v>
      </c>
    </row>
    <row r="21" spans="2:17" ht="15" hidden="1">
      <c r="B21" s="618" t="s">
        <v>722</v>
      </c>
      <c r="C21" s="619">
        <v>537</v>
      </c>
      <c r="D21" s="619">
        <v>1902</v>
      </c>
      <c r="E21" s="619">
        <f>SUM(C21:D21)</f>
        <v>2439</v>
      </c>
      <c r="F21" s="619">
        <v>510</v>
      </c>
      <c r="G21" s="619">
        <v>1965</v>
      </c>
      <c r="H21" s="619">
        <f>SUM(F21:G21)</f>
        <v>2475</v>
      </c>
      <c r="I21" s="619">
        <v>441</v>
      </c>
      <c r="J21" s="619">
        <v>1913</v>
      </c>
      <c r="K21" s="619">
        <f>I21+J21</f>
        <v>2354</v>
      </c>
      <c r="L21" s="693">
        <f t="shared" si="0"/>
        <v>0.22017220172201721</v>
      </c>
      <c r="M21" s="101"/>
      <c r="N21" s="101"/>
      <c r="O21" s="2" t="str">
        <f>B21</f>
        <v>Asia</v>
      </c>
      <c r="P21" s="95">
        <f>E21+E28</f>
        <v>2459</v>
      </c>
    </row>
    <row r="22" spans="2:17" ht="15" hidden="1">
      <c r="B22" s="618" t="s">
        <v>723</v>
      </c>
      <c r="C22" s="619">
        <v>280</v>
      </c>
      <c r="D22" s="619">
        <v>701</v>
      </c>
      <c r="E22" s="619">
        <f>SUM(C22:D22)</f>
        <v>981</v>
      </c>
      <c r="F22" s="619">
        <v>200</v>
      </c>
      <c r="G22" s="619">
        <v>410</v>
      </c>
      <c r="H22" s="619">
        <f>SUM(F22:G22)</f>
        <v>610</v>
      </c>
      <c r="I22" s="619">
        <v>198</v>
      </c>
      <c r="J22" s="619">
        <v>396</v>
      </c>
      <c r="K22" s="619">
        <f>I22+J22</f>
        <v>594</v>
      </c>
      <c r="L22" s="693">
        <f t="shared" si="0"/>
        <v>0.2854230377166157</v>
      </c>
      <c r="M22" s="101"/>
      <c r="N22" s="101"/>
      <c r="O22" s="2" t="str">
        <f>B22</f>
        <v>Rest of World</v>
      </c>
      <c r="P22" s="95">
        <f>E22+E29</f>
        <v>1056</v>
      </c>
    </row>
    <row r="23" spans="2:17" ht="15" hidden="1">
      <c r="B23" s="620" t="s">
        <v>724</v>
      </c>
      <c r="C23" s="619">
        <f t="shared" ref="C23:K23" si="1">SUM(C18:C22)</f>
        <v>3575</v>
      </c>
      <c r="D23" s="619">
        <f t="shared" si="1"/>
        <v>8609</v>
      </c>
      <c r="E23" s="619">
        <f t="shared" si="1"/>
        <v>12184</v>
      </c>
      <c r="F23" s="619">
        <f t="shared" si="1"/>
        <v>3728</v>
      </c>
      <c r="G23" s="619">
        <f t="shared" si="1"/>
        <v>9352</v>
      </c>
      <c r="H23" s="619">
        <f t="shared" si="1"/>
        <v>13080</v>
      </c>
      <c r="I23" s="619">
        <f t="shared" si="1"/>
        <v>3643</v>
      </c>
      <c r="J23" s="619">
        <f t="shared" si="1"/>
        <v>9616</v>
      </c>
      <c r="K23" s="619">
        <f t="shared" si="1"/>
        <v>13259</v>
      </c>
      <c r="L23" s="693">
        <f t="shared" si="0"/>
        <v>0.29341759684832569</v>
      </c>
      <c r="M23" s="102"/>
      <c r="N23" s="102"/>
      <c r="O23" s="2"/>
      <c r="P23" s="95"/>
    </row>
    <row r="24" spans="2:17" ht="15" hidden="1">
      <c r="B24" s="609" t="s">
        <v>725</v>
      </c>
      <c r="C24" s="613"/>
      <c r="D24" s="613"/>
      <c r="E24" s="613"/>
      <c r="F24" s="613"/>
      <c r="G24" s="613"/>
      <c r="H24" s="613"/>
      <c r="I24" s="613"/>
      <c r="J24" s="613"/>
      <c r="K24" s="613"/>
      <c r="L24" s="693"/>
      <c r="M24" s="99"/>
      <c r="N24" s="99"/>
      <c r="O24" s="2"/>
    </row>
    <row r="25" spans="2:17" ht="15.5" hidden="1">
      <c r="B25" s="618" t="s">
        <v>718</v>
      </c>
      <c r="C25" s="619">
        <v>64</v>
      </c>
      <c r="D25" s="619">
        <v>101</v>
      </c>
      <c r="E25" s="619">
        <f>SUM(C25:D25)</f>
        <v>165</v>
      </c>
      <c r="F25" s="1413">
        <v>102</v>
      </c>
      <c r="G25" s="1413">
        <v>104</v>
      </c>
      <c r="H25" s="1413">
        <f>SUM(F25:G25)</f>
        <v>206</v>
      </c>
      <c r="I25" s="1413">
        <v>103</v>
      </c>
      <c r="J25" s="1413">
        <v>154</v>
      </c>
      <c r="K25" s="1413">
        <f>I25+J25</f>
        <v>257</v>
      </c>
      <c r="L25" s="693">
        <f t="shared" ref="L25:L30" si="2">C25/E25</f>
        <v>0.38787878787878788</v>
      </c>
      <c r="M25" s="99"/>
      <c r="N25" s="99"/>
      <c r="O25" t="s">
        <v>727</v>
      </c>
      <c r="P25" s="385">
        <v>0.54900000000000004</v>
      </c>
      <c r="Q25" s="386">
        <v>0.55000000000000004</v>
      </c>
    </row>
    <row r="26" spans="2:17" ht="15" hidden="1">
      <c r="B26" s="618" t="s">
        <v>720</v>
      </c>
      <c r="C26" s="619">
        <v>77</v>
      </c>
      <c r="D26" s="619">
        <v>91</v>
      </c>
      <c r="E26" s="619">
        <f>SUM(C26:D26)</f>
        <v>168</v>
      </c>
      <c r="F26" s="1413"/>
      <c r="G26" s="1413"/>
      <c r="H26" s="1413"/>
      <c r="I26" s="1413"/>
      <c r="J26" s="1413"/>
      <c r="K26" s="1413"/>
      <c r="L26" s="693">
        <f t="shared" si="2"/>
        <v>0.45833333333333331</v>
      </c>
      <c r="M26" s="100"/>
      <c r="N26" s="100"/>
      <c r="O26" s="2" t="s">
        <v>728</v>
      </c>
      <c r="P26" s="385">
        <v>8.3000000000000004E-2</v>
      </c>
      <c r="Q26" s="386">
        <v>0.08</v>
      </c>
    </row>
    <row r="27" spans="2:17" ht="15" hidden="1">
      <c r="B27" s="618" t="s">
        <v>721</v>
      </c>
      <c r="C27" s="619">
        <v>13</v>
      </c>
      <c r="D27" s="619">
        <v>13</v>
      </c>
      <c r="E27" s="619">
        <f>SUM(C27:D27)</f>
        <v>26</v>
      </c>
      <c r="F27" s="619">
        <v>30</v>
      </c>
      <c r="G27" s="619">
        <v>44</v>
      </c>
      <c r="H27" s="619">
        <f>SUM(F27:G27)</f>
        <v>74</v>
      </c>
      <c r="I27" s="619">
        <v>4</v>
      </c>
      <c r="J27" s="619">
        <v>51</v>
      </c>
      <c r="K27" s="619">
        <f>I27+J27</f>
        <v>55</v>
      </c>
      <c r="L27" s="693">
        <f t="shared" si="2"/>
        <v>0.5</v>
      </c>
      <c r="M27" s="100"/>
      <c r="N27" s="100"/>
      <c r="O27" s="2" t="s">
        <v>729</v>
      </c>
      <c r="P27" s="385">
        <v>0.111</v>
      </c>
      <c r="Q27" s="386">
        <v>0.11</v>
      </c>
    </row>
    <row r="28" spans="2:17" ht="15" hidden="1">
      <c r="B28" s="618" t="s">
        <v>722</v>
      </c>
      <c r="C28" s="619">
        <v>10</v>
      </c>
      <c r="D28" s="619">
        <v>10</v>
      </c>
      <c r="E28" s="619">
        <f>SUM(C28:D28)</f>
        <v>20</v>
      </c>
      <c r="F28" s="619">
        <v>10</v>
      </c>
      <c r="G28" s="619">
        <v>12</v>
      </c>
      <c r="H28" s="619">
        <f>SUM(F28:G28)</f>
        <v>22</v>
      </c>
      <c r="I28" s="619">
        <v>14</v>
      </c>
      <c r="J28" s="619">
        <v>13</v>
      </c>
      <c r="K28" s="619">
        <f>I28+J28</f>
        <v>27</v>
      </c>
      <c r="L28" s="693">
        <f t="shared" si="2"/>
        <v>0.5</v>
      </c>
      <c r="M28" s="100"/>
      <c r="N28" s="100"/>
      <c r="O28" s="2" t="s">
        <v>721</v>
      </c>
      <c r="P28" s="385">
        <v>0.17299999999999999</v>
      </c>
      <c r="Q28" s="386">
        <v>0.17</v>
      </c>
    </row>
    <row r="29" spans="2:17" ht="15" hidden="1">
      <c r="B29" s="618" t="s">
        <v>723</v>
      </c>
      <c r="C29" s="619">
        <v>34</v>
      </c>
      <c r="D29" s="619">
        <v>41</v>
      </c>
      <c r="E29" s="619">
        <f>SUM(C29:D29)</f>
        <v>75</v>
      </c>
      <c r="F29" s="619">
        <v>28</v>
      </c>
      <c r="G29" s="619">
        <v>20</v>
      </c>
      <c r="H29" s="619">
        <f>SUM(F29:G29)</f>
        <v>48</v>
      </c>
      <c r="I29" s="619">
        <v>19</v>
      </c>
      <c r="J29" s="619">
        <v>24</v>
      </c>
      <c r="K29" s="619">
        <f>I29+J29</f>
        <v>43</v>
      </c>
      <c r="L29" s="693">
        <f t="shared" si="2"/>
        <v>0.45333333333333331</v>
      </c>
      <c r="M29" s="100"/>
      <c r="N29" s="100"/>
      <c r="O29" s="2" t="s">
        <v>723</v>
      </c>
      <c r="P29" s="385">
        <v>8.4000000000000005E-2</v>
      </c>
      <c r="Q29" s="386">
        <v>0.09</v>
      </c>
    </row>
    <row r="30" spans="2:17" ht="2.5" hidden="1" customHeight="1">
      <c r="B30" s="620" t="s">
        <v>724</v>
      </c>
      <c r="C30" s="619">
        <f t="shared" ref="C30:J30" si="3">SUM(C25:C29)</f>
        <v>198</v>
      </c>
      <c r="D30" s="619">
        <f t="shared" si="3"/>
        <v>256</v>
      </c>
      <c r="E30" s="619">
        <f t="shared" si="3"/>
        <v>454</v>
      </c>
      <c r="F30" s="619">
        <f t="shared" si="3"/>
        <v>170</v>
      </c>
      <c r="G30" s="619">
        <f t="shared" si="3"/>
        <v>180</v>
      </c>
      <c r="H30" s="619">
        <f t="shared" si="3"/>
        <v>350</v>
      </c>
      <c r="I30" s="619">
        <f t="shared" si="3"/>
        <v>140</v>
      </c>
      <c r="J30" s="619">
        <f t="shared" si="3"/>
        <v>242</v>
      </c>
      <c r="K30" s="619">
        <f>I30+J30</f>
        <v>382</v>
      </c>
      <c r="L30" s="693">
        <f t="shared" si="2"/>
        <v>0.43612334801762115</v>
      </c>
      <c r="M30" s="67"/>
      <c r="N30" s="67"/>
      <c r="O30" s="2"/>
      <c r="P30" s="385">
        <f>SUM(P25:P29)</f>
        <v>0.99999999999999989</v>
      </c>
      <c r="Q30" s="349">
        <f>SUM(Q25:Q29)</f>
        <v>1</v>
      </c>
    </row>
    <row r="31" spans="2:17" ht="15">
      <c r="B31" s="609" t="s">
        <v>730</v>
      </c>
      <c r="C31" s="719"/>
      <c r="D31" s="719"/>
      <c r="E31" s="719"/>
      <c r="F31" s="621"/>
      <c r="G31" s="621"/>
      <c r="H31" s="621"/>
      <c r="I31" s="621"/>
      <c r="J31" s="621"/>
      <c r="K31" s="621"/>
      <c r="L31" s="693"/>
      <c r="M31" s="67"/>
      <c r="N31" s="67"/>
      <c r="O31" s="2"/>
    </row>
    <row r="32" spans="2:17" ht="15">
      <c r="B32" s="618" t="s">
        <v>718</v>
      </c>
      <c r="C32" s="789">
        <f t="shared" ref="C32:K32" si="4">C18+C25</f>
        <v>1180</v>
      </c>
      <c r="D32" s="789">
        <f t="shared" si="4"/>
        <v>2899</v>
      </c>
      <c r="E32" s="789">
        <f t="shared" si="4"/>
        <v>4079</v>
      </c>
      <c r="F32" s="1411">
        <f t="shared" si="4"/>
        <v>2435</v>
      </c>
      <c r="G32" s="1411">
        <f t="shared" si="4"/>
        <v>5005</v>
      </c>
      <c r="H32" s="1411">
        <f t="shared" si="4"/>
        <v>7440</v>
      </c>
      <c r="I32" s="1411">
        <f t="shared" si="4"/>
        <v>2447</v>
      </c>
      <c r="J32" s="1411">
        <f t="shared" si="4"/>
        <v>5383</v>
      </c>
      <c r="K32" s="1411">
        <f t="shared" si="4"/>
        <v>7830</v>
      </c>
      <c r="L32" s="762">
        <f t="shared" ref="L32:L37" si="5">C32/E32</f>
        <v>0.28928658985045352</v>
      </c>
      <c r="M32" s="67"/>
      <c r="N32" s="67"/>
      <c r="O32" s="2"/>
    </row>
    <row r="33" spans="1:15" ht="15">
      <c r="B33" s="618" t="s">
        <v>720</v>
      </c>
      <c r="C33" s="789">
        <f t="shared" ref="C33:E36" si="6">C19+C26</f>
        <v>1165</v>
      </c>
      <c r="D33" s="789">
        <f t="shared" si="6"/>
        <v>1693</v>
      </c>
      <c r="E33" s="789">
        <f t="shared" si="6"/>
        <v>2858</v>
      </c>
      <c r="F33" s="1411"/>
      <c r="G33" s="1411"/>
      <c r="H33" s="1411"/>
      <c r="I33" s="1411"/>
      <c r="J33" s="1411"/>
      <c r="K33" s="1411"/>
      <c r="L33" s="762">
        <f t="shared" si="5"/>
        <v>0.40762771168649403</v>
      </c>
      <c r="M33" s="67"/>
      <c r="N33" s="67"/>
      <c r="O33" s="2"/>
    </row>
    <row r="34" spans="1:15" ht="15">
      <c r="B34" s="618" t="s">
        <v>721</v>
      </c>
      <c r="C34" s="789">
        <f t="shared" si="6"/>
        <v>567</v>
      </c>
      <c r="D34" s="789">
        <f t="shared" si="6"/>
        <v>1619</v>
      </c>
      <c r="E34" s="789">
        <f t="shared" si="6"/>
        <v>2186</v>
      </c>
      <c r="F34" s="798">
        <f t="shared" ref="F34:K36" si="7">F20+F27</f>
        <v>715</v>
      </c>
      <c r="G34" s="798">
        <f t="shared" si="7"/>
        <v>2120</v>
      </c>
      <c r="H34" s="798">
        <f t="shared" si="7"/>
        <v>2835</v>
      </c>
      <c r="I34" s="798">
        <f t="shared" si="7"/>
        <v>664</v>
      </c>
      <c r="J34" s="798">
        <f t="shared" si="7"/>
        <v>2129</v>
      </c>
      <c r="K34" s="798">
        <f t="shared" si="7"/>
        <v>2793</v>
      </c>
      <c r="L34" s="762">
        <f t="shared" si="5"/>
        <v>0.25937785910338518</v>
      </c>
      <c r="M34" s="67"/>
      <c r="N34" s="67"/>
      <c r="O34" s="2"/>
    </row>
    <row r="35" spans="1:15" ht="15">
      <c r="B35" s="618" t="s">
        <v>722</v>
      </c>
      <c r="C35" s="789">
        <f t="shared" si="6"/>
        <v>547</v>
      </c>
      <c r="D35" s="789">
        <f t="shared" si="6"/>
        <v>1912</v>
      </c>
      <c r="E35" s="789">
        <f t="shared" si="6"/>
        <v>2459</v>
      </c>
      <c r="F35" s="798">
        <f t="shared" si="7"/>
        <v>520</v>
      </c>
      <c r="G35" s="798">
        <f t="shared" si="7"/>
        <v>1977</v>
      </c>
      <c r="H35" s="798">
        <f t="shared" si="7"/>
        <v>2497</v>
      </c>
      <c r="I35" s="798">
        <f t="shared" si="7"/>
        <v>455</v>
      </c>
      <c r="J35" s="798">
        <f t="shared" si="7"/>
        <v>1926</v>
      </c>
      <c r="K35" s="798">
        <f t="shared" si="7"/>
        <v>2381</v>
      </c>
      <c r="L35" s="762">
        <f t="shared" si="5"/>
        <v>0.22244814965433102</v>
      </c>
      <c r="M35" s="67"/>
      <c r="N35" s="67"/>
      <c r="O35" s="2"/>
    </row>
    <row r="36" spans="1:15" ht="15">
      <c r="B36" s="618" t="s">
        <v>723</v>
      </c>
      <c r="C36" s="789">
        <f t="shared" si="6"/>
        <v>314</v>
      </c>
      <c r="D36" s="789">
        <f t="shared" si="6"/>
        <v>742</v>
      </c>
      <c r="E36" s="789">
        <f t="shared" si="6"/>
        <v>1056</v>
      </c>
      <c r="F36" s="798">
        <f t="shared" si="7"/>
        <v>228</v>
      </c>
      <c r="G36" s="798">
        <f t="shared" si="7"/>
        <v>430</v>
      </c>
      <c r="H36" s="798">
        <f t="shared" si="7"/>
        <v>658</v>
      </c>
      <c r="I36" s="798">
        <f t="shared" si="7"/>
        <v>217</v>
      </c>
      <c r="J36" s="798">
        <f t="shared" si="7"/>
        <v>420</v>
      </c>
      <c r="K36" s="798">
        <f t="shared" si="7"/>
        <v>637</v>
      </c>
      <c r="L36" s="762">
        <f t="shared" si="5"/>
        <v>0.29734848484848486</v>
      </c>
      <c r="M36" s="67"/>
      <c r="N36" s="67"/>
      <c r="O36" s="2"/>
    </row>
    <row r="37" spans="1:15" ht="15">
      <c r="B37" s="649" t="s">
        <v>964</v>
      </c>
      <c r="C37" s="790">
        <f>C23+C30</f>
        <v>3773</v>
      </c>
      <c r="D37" s="790">
        <f>D23+D30</f>
        <v>8865</v>
      </c>
      <c r="E37" s="790">
        <f>C37+D37</f>
        <v>12638</v>
      </c>
      <c r="F37" s="800">
        <f>F23+F30</f>
        <v>3898</v>
      </c>
      <c r="G37" s="800">
        <f>G23+G30</f>
        <v>9532</v>
      </c>
      <c r="H37" s="800">
        <f>F37+G37</f>
        <v>13430</v>
      </c>
      <c r="I37" s="800">
        <f>I23+I30</f>
        <v>3783</v>
      </c>
      <c r="J37" s="800">
        <f>J23+J30</f>
        <v>9858</v>
      </c>
      <c r="K37" s="800">
        <f>I37+J37</f>
        <v>13641</v>
      </c>
      <c r="L37" s="1050">
        <f t="shared" si="5"/>
        <v>0.29854407342934008</v>
      </c>
      <c r="M37" s="67"/>
      <c r="N37" s="67"/>
      <c r="O37" s="2"/>
    </row>
    <row r="38" spans="1:15" ht="15" hidden="1">
      <c r="B38" s="622"/>
      <c r="C38" s="803"/>
      <c r="D38" s="789"/>
      <c r="E38" s="789"/>
      <c r="F38" s="804"/>
      <c r="G38" s="804"/>
      <c r="H38" s="804"/>
      <c r="I38" s="804"/>
      <c r="J38" s="804"/>
      <c r="K38" s="804"/>
      <c r="L38" s="694"/>
      <c r="M38" s="578"/>
      <c r="N38" s="542"/>
      <c r="O38" s="67"/>
    </row>
    <row r="39" spans="1:15" ht="15">
      <c r="B39" s="650" t="s">
        <v>732</v>
      </c>
      <c r="C39" s="789">
        <v>3</v>
      </c>
      <c r="D39" s="789">
        <v>6</v>
      </c>
      <c r="E39" s="789">
        <f t="shared" ref="E39:E44" si="8">C39+D39</f>
        <v>9</v>
      </c>
      <c r="F39" s="798">
        <v>3</v>
      </c>
      <c r="G39" s="798">
        <v>6</v>
      </c>
      <c r="H39" s="798">
        <f t="shared" ref="H39:H44" si="9">F39+G39</f>
        <v>9</v>
      </c>
      <c r="I39" s="798">
        <v>2</v>
      </c>
      <c r="J39" s="798">
        <v>5</v>
      </c>
      <c r="K39" s="798">
        <f t="shared" ref="K39:K44" si="10">I39+J39</f>
        <v>7</v>
      </c>
      <c r="L39" s="762">
        <f t="shared" ref="L39:L44" si="11">C39/E39</f>
        <v>0.33333333333333331</v>
      </c>
      <c r="M39" s="543"/>
      <c r="N39" s="67"/>
      <c r="O39" s="2"/>
    </row>
    <row r="40" spans="1:15" ht="15">
      <c r="B40" s="650" t="s">
        <v>734</v>
      </c>
      <c r="C40" s="789">
        <v>3</v>
      </c>
      <c r="D40" s="789">
        <v>9</v>
      </c>
      <c r="E40" s="789">
        <f t="shared" si="8"/>
        <v>12</v>
      </c>
      <c r="F40" s="798">
        <v>2</v>
      </c>
      <c r="G40" s="798">
        <v>6</v>
      </c>
      <c r="H40" s="798">
        <f t="shared" si="9"/>
        <v>8</v>
      </c>
      <c r="I40" s="798">
        <v>4</v>
      </c>
      <c r="J40" s="798">
        <v>5</v>
      </c>
      <c r="K40" s="798">
        <f t="shared" si="10"/>
        <v>9</v>
      </c>
      <c r="L40" s="762">
        <f t="shared" si="11"/>
        <v>0.25</v>
      </c>
      <c r="N40" s="67"/>
      <c r="O40" s="2"/>
    </row>
    <row r="41" spans="1:15" s="15" customFormat="1" ht="15">
      <c r="A41" s="2"/>
      <c r="B41" s="651" t="s">
        <v>736</v>
      </c>
      <c r="C41" s="789">
        <v>13</v>
      </c>
      <c r="D41" s="789">
        <v>86</v>
      </c>
      <c r="E41" s="789">
        <f t="shared" si="8"/>
        <v>99</v>
      </c>
      <c r="F41" s="798">
        <v>17</v>
      </c>
      <c r="G41" s="798">
        <v>100</v>
      </c>
      <c r="H41" s="798">
        <f t="shared" si="9"/>
        <v>117</v>
      </c>
      <c r="I41" s="798">
        <v>16</v>
      </c>
      <c r="J41" s="798">
        <v>95</v>
      </c>
      <c r="K41" s="798">
        <f t="shared" si="10"/>
        <v>111</v>
      </c>
      <c r="L41" s="762">
        <f t="shared" si="11"/>
        <v>0.13131313131313133</v>
      </c>
      <c r="N41" s="67"/>
    </row>
    <row r="42" spans="1:15" ht="15">
      <c r="B42" s="651" t="s">
        <v>738</v>
      </c>
      <c r="C42" s="789">
        <v>31</v>
      </c>
      <c r="D42" s="789">
        <v>52</v>
      </c>
      <c r="E42" s="789">
        <f t="shared" si="8"/>
        <v>83</v>
      </c>
      <c r="F42" s="798">
        <v>22</v>
      </c>
      <c r="G42" s="798">
        <v>38</v>
      </c>
      <c r="H42" s="798">
        <f t="shared" si="9"/>
        <v>60</v>
      </c>
      <c r="I42" s="798">
        <v>21</v>
      </c>
      <c r="J42" s="798">
        <v>41</v>
      </c>
      <c r="K42" s="798">
        <f t="shared" si="10"/>
        <v>62</v>
      </c>
      <c r="L42" s="762">
        <f t="shared" si="11"/>
        <v>0.37349397590361444</v>
      </c>
      <c r="N42" s="67"/>
      <c r="O42" s="2"/>
    </row>
    <row r="43" spans="1:15" ht="30">
      <c r="B43" s="651" t="s">
        <v>1104</v>
      </c>
      <c r="C43" s="790">
        <v>478</v>
      </c>
      <c r="D43" s="790">
        <v>1223</v>
      </c>
      <c r="E43" s="790">
        <f t="shared" si="8"/>
        <v>1701</v>
      </c>
      <c r="F43" s="800">
        <v>487</v>
      </c>
      <c r="G43" s="800">
        <v>1302</v>
      </c>
      <c r="H43" s="800">
        <f t="shared" si="9"/>
        <v>1789</v>
      </c>
      <c r="I43" s="1048"/>
      <c r="J43" s="1048"/>
      <c r="K43" s="1049">
        <f t="shared" si="10"/>
        <v>0</v>
      </c>
      <c r="L43" s="763">
        <f t="shared" si="11"/>
        <v>0.28101116990005881</v>
      </c>
      <c r="M43" s="617">
        <f>(L43-0.3)/(0.4-0.3)</f>
        <v>-0.18988830099941173</v>
      </c>
      <c r="N43" s="77"/>
      <c r="O43" s="2"/>
    </row>
    <row r="44" spans="1:15" ht="15">
      <c r="B44" s="650" t="s">
        <v>742</v>
      </c>
      <c r="C44" s="789">
        <v>748</v>
      </c>
      <c r="D44" s="789">
        <v>1496</v>
      </c>
      <c r="E44" s="789">
        <f t="shared" si="8"/>
        <v>2244</v>
      </c>
      <c r="F44" s="798">
        <v>718</v>
      </c>
      <c r="G44" s="798">
        <v>1355</v>
      </c>
      <c r="H44" s="798">
        <f t="shared" si="9"/>
        <v>2073</v>
      </c>
      <c r="I44" s="798">
        <v>475</v>
      </c>
      <c r="J44" s="798">
        <v>1117</v>
      </c>
      <c r="K44" s="798">
        <f t="shared" si="10"/>
        <v>1592</v>
      </c>
      <c r="L44" s="762">
        <f t="shared" si="11"/>
        <v>0.33333333333333331</v>
      </c>
      <c r="N44" s="67"/>
      <c r="O44" s="2"/>
    </row>
    <row r="45" spans="1:15" ht="7.75" customHeight="1">
      <c r="B45" s="98"/>
      <c r="C45" s="70"/>
      <c r="D45" s="590"/>
      <c r="E45" s="590"/>
      <c r="F45" s="590"/>
      <c r="G45" s="590"/>
      <c r="H45" s="590"/>
      <c r="I45" s="590"/>
      <c r="J45" s="590"/>
      <c r="K45" s="590"/>
      <c r="L45" s="590"/>
      <c r="M45" s="591"/>
      <c r="O45" s="67"/>
    </row>
    <row r="46" spans="1:15" ht="26" customHeight="1">
      <c r="B46" s="1135" t="s">
        <v>1087</v>
      </c>
      <c r="C46" s="1392" t="s">
        <v>427</v>
      </c>
      <c r="D46" s="1392"/>
      <c r="E46" s="1392"/>
      <c r="F46" s="1393" t="s">
        <v>412</v>
      </c>
      <c r="G46" s="1393"/>
      <c r="H46" s="1393"/>
      <c r="I46" s="1393" t="s">
        <v>406</v>
      </c>
      <c r="J46" s="1393"/>
      <c r="K46" s="1393"/>
      <c r="L46" s="1389" t="s">
        <v>1176</v>
      </c>
      <c r="M46" s="1390"/>
      <c r="N46" s="67"/>
      <c r="O46" s="67"/>
    </row>
    <row r="47" spans="1:15" ht="26" customHeight="1">
      <c r="A47" s="15"/>
      <c r="B47" s="605" t="s">
        <v>713</v>
      </c>
      <c r="C47" s="608" t="s">
        <v>714</v>
      </c>
      <c r="D47" s="608" t="s">
        <v>715</v>
      </c>
      <c r="E47" s="608" t="s">
        <v>480</v>
      </c>
      <c r="F47" s="608" t="s">
        <v>714</v>
      </c>
      <c r="G47" s="608" t="s">
        <v>715</v>
      </c>
      <c r="H47" s="608" t="s">
        <v>480</v>
      </c>
      <c r="I47" s="608" t="s">
        <v>714</v>
      </c>
      <c r="J47" s="608" t="s">
        <v>715</v>
      </c>
      <c r="K47" s="608" t="s">
        <v>480</v>
      </c>
      <c r="L47" s="1389"/>
      <c r="M47" s="1391"/>
      <c r="N47" s="99" t="s">
        <v>716</v>
      </c>
      <c r="O47" s="2"/>
    </row>
    <row r="48" spans="1:15" ht="15">
      <c r="B48" s="609" t="s">
        <v>1086</v>
      </c>
      <c r="C48" s="720"/>
      <c r="D48" s="720"/>
      <c r="E48" s="720"/>
      <c r="F48" s="610"/>
      <c r="G48" s="610"/>
      <c r="H48" s="610"/>
      <c r="I48" s="610"/>
      <c r="J48" s="610"/>
      <c r="K48" s="611"/>
      <c r="L48" s="1396"/>
      <c r="M48" s="99"/>
      <c r="N48" s="2"/>
      <c r="O48" s="2"/>
    </row>
    <row r="49" spans="1:15" ht="15">
      <c r="B49" s="612" t="s">
        <v>743</v>
      </c>
      <c r="C49" s="789">
        <v>0</v>
      </c>
      <c r="D49" s="789">
        <v>0</v>
      </c>
      <c r="E49" s="789">
        <f>C49+D49</f>
        <v>0</v>
      </c>
      <c r="F49" s="798">
        <v>0</v>
      </c>
      <c r="G49" s="798">
        <v>0</v>
      </c>
      <c r="H49" s="798">
        <f>F49+G49</f>
        <v>0</v>
      </c>
      <c r="I49" s="798">
        <v>1</v>
      </c>
      <c r="J49" s="798">
        <v>0</v>
      </c>
      <c r="K49" s="798">
        <v>1</v>
      </c>
      <c r="L49" s="1396"/>
      <c r="N49" s="67"/>
      <c r="O49" s="2"/>
    </row>
    <row r="50" spans="1:15" ht="15">
      <c r="B50" s="612" t="s">
        <v>744</v>
      </c>
      <c r="C50" s="789">
        <v>0</v>
      </c>
      <c r="D50" s="789">
        <v>3</v>
      </c>
      <c r="E50" s="789">
        <f>C50+D50</f>
        <v>3</v>
      </c>
      <c r="F50" s="798">
        <v>0</v>
      </c>
      <c r="G50" s="798">
        <v>3</v>
      </c>
      <c r="H50" s="798">
        <f>F50+G50</f>
        <v>3</v>
      </c>
      <c r="I50" s="798">
        <v>0</v>
      </c>
      <c r="J50" s="798">
        <v>2</v>
      </c>
      <c r="K50" s="798">
        <v>2</v>
      </c>
      <c r="L50" s="1396"/>
      <c r="N50" s="67"/>
      <c r="O50" s="2"/>
    </row>
    <row r="51" spans="1:15" ht="15">
      <c r="B51" s="612" t="s">
        <v>745</v>
      </c>
      <c r="C51" s="789">
        <v>0</v>
      </c>
      <c r="D51" s="789">
        <v>2</v>
      </c>
      <c r="E51" s="789">
        <f>C51+D51</f>
        <v>2</v>
      </c>
      <c r="F51" s="798">
        <v>0</v>
      </c>
      <c r="G51" s="798">
        <v>2</v>
      </c>
      <c r="H51" s="798">
        <f>F51+G51</f>
        <v>2</v>
      </c>
      <c r="I51" s="798">
        <v>2</v>
      </c>
      <c r="J51" s="798">
        <v>4</v>
      </c>
      <c r="K51" s="798">
        <v>6</v>
      </c>
      <c r="L51" s="1396"/>
      <c r="N51" s="67"/>
      <c r="O51" s="2"/>
    </row>
    <row r="52" spans="1:15" ht="15">
      <c r="B52" s="612" t="s">
        <v>746</v>
      </c>
      <c r="C52" s="789">
        <v>3</v>
      </c>
      <c r="D52" s="789">
        <v>1</v>
      </c>
      <c r="E52" s="789">
        <f>C52+D52</f>
        <v>4</v>
      </c>
      <c r="F52" s="798">
        <v>3</v>
      </c>
      <c r="G52" s="798">
        <v>1</v>
      </c>
      <c r="H52" s="798">
        <f>F52+G52</f>
        <v>4</v>
      </c>
      <c r="I52" s="798">
        <v>0</v>
      </c>
      <c r="J52" s="798">
        <v>0</v>
      </c>
      <c r="K52" s="798">
        <v>0</v>
      </c>
      <c r="L52" s="764"/>
      <c r="N52" s="67"/>
      <c r="O52" s="2"/>
    </row>
    <row r="53" spans="1:15" ht="21.5" customHeight="1">
      <c r="B53" s="615" t="s">
        <v>747</v>
      </c>
      <c r="C53" s="790">
        <f t="shared" ref="C53:J53" si="12">SUM(C49:C52)</f>
        <v>3</v>
      </c>
      <c r="D53" s="790">
        <f t="shared" si="12"/>
        <v>6</v>
      </c>
      <c r="E53" s="790">
        <f t="shared" si="12"/>
        <v>9</v>
      </c>
      <c r="F53" s="800">
        <f t="shared" si="12"/>
        <v>3</v>
      </c>
      <c r="G53" s="800">
        <f t="shared" si="12"/>
        <v>6</v>
      </c>
      <c r="H53" s="800">
        <f t="shared" si="12"/>
        <v>9</v>
      </c>
      <c r="I53" s="800">
        <f t="shared" si="12"/>
        <v>3</v>
      </c>
      <c r="J53" s="800">
        <f t="shared" si="12"/>
        <v>6</v>
      </c>
      <c r="K53" s="800">
        <v>9</v>
      </c>
      <c r="L53" s="1050">
        <f>C53/E53</f>
        <v>0.33333333333333331</v>
      </c>
      <c r="N53" s="67"/>
      <c r="O53" s="2"/>
    </row>
    <row r="54" spans="1:15" ht="15">
      <c r="B54" s="616" t="s">
        <v>748</v>
      </c>
      <c r="C54" s="789">
        <v>640</v>
      </c>
      <c r="D54" s="789">
        <v>1388</v>
      </c>
      <c r="E54" s="789">
        <f>C54+D54</f>
        <v>2028</v>
      </c>
      <c r="F54" s="801">
        <v>719</v>
      </c>
      <c r="G54" s="801">
        <v>1509</v>
      </c>
      <c r="H54" s="801">
        <f>F54+G54</f>
        <v>2228</v>
      </c>
      <c r="I54" s="801">
        <v>730</v>
      </c>
      <c r="J54" s="801">
        <v>1608</v>
      </c>
      <c r="K54" s="801">
        <f>I54+J54</f>
        <v>2338</v>
      </c>
      <c r="L54" s="762">
        <f t="shared" ref="L54:L58" si="13">C54/E54</f>
        <v>0.31558185404339251</v>
      </c>
      <c r="N54" s="67"/>
      <c r="O54" s="2"/>
    </row>
    <row r="55" spans="1:15" ht="15">
      <c r="B55" s="616" t="s">
        <v>750</v>
      </c>
      <c r="C55" s="789">
        <v>1971</v>
      </c>
      <c r="D55" s="789">
        <v>4463</v>
      </c>
      <c r="E55" s="789">
        <f>C55+D55</f>
        <v>6434</v>
      </c>
      <c r="F55" s="1412">
        <v>2477</v>
      </c>
      <c r="G55" s="1412">
        <v>6050</v>
      </c>
      <c r="H55" s="1412">
        <f>F55+G55</f>
        <v>8527</v>
      </c>
      <c r="I55" s="1412">
        <v>2331</v>
      </c>
      <c r="J55" s="1412">
        <v>5927</v>
      </c>
      <c r="K55" s="1412">
        <f>I55+J55</f>
        <v>8258</v>
      </c>
      <c r="L55" s="762">
        <f t="shared" si="13"/>
        <v>0.30634131178116258</v>
      </c>
      <c r="N55" s="67"/>
      <c r="O55" s="2"/>
    </row>
    <row r="56" spans="1:15" ht="15">
      <c r="A56" s="12"/>
      <c r="B56" s="616" t="s">
        <v>751</v>
      </c>
      <c r="C56" s="789">
        <v>962</v>
      </c>
      <c r="D56" s="789">
        <v>2456</v>
      </c>
      <c r="E56" s="789">
        <f>C56+D56</f>
        <v>3418</v>
      </c>
      <c r="F56" s="1412"/>
      <c r="G56" s="1412"/>
      <c r="H56" s="1412"/>
      <c r="I56" s="1412"/>
      <c r="J56" s="1412"/>
      <c r="K56" s="1412"/>
      <c r="L56" s="762">
        <f t="shared" si="13"/>
        <v>0.28145114101813928</v>
      </c>
      <c r="N56" s="67"/>
      <c r="O56" s="2"/>
    </row>
    <row r="57" spans="1:15" ht="15">
      <c r="A57" s="377"/>
      <c r="B57" s="616" t="s">
        <v>752</v>
      </c>
      <c r="C57" s="789">
        <v>123</v>
      </c>
      <c r="D57" s="789">
        <v>434</v>
      </c>
      <c r="E57" s="789">
        <f>C57+D57</f>
        <v>557</v>
      </c>
      <c r="F57" s="801">
        <v>703</v>
      </c>
      <c r="G57" s="801">
        <v>1972</v>
      </c>
      <c r="H57" s="801">
        <f>F57+G57</f>
        <v>2675</v>
      </c>
      <c r="I57" s="801">
        <v>722</v>
      </c>
      <c r="J57" s="801">
        <v>2322</v>
      </c>
      <c r="K57" s="801">
        <f>I57+J57</f>
        <v>3044</v>
      </c>
      <c r="L57" s="762">
        <f t="shared" si="13"/>
        <v>0.22082585278276481</v>
      </c>
      <c r="N57" s="67"/>
      <c r="O57" s="2"/>
    </row>
    <row r="58" spans="1:15" s="78" customFormat="1" ht="15">
      <c r="A58" s="378"/>
      <c r="B58" s="609" t="s">
        <v>1178</v>
      </c>
      <c r="C58" s="790">
        <f t="shared" ref="C58:K58" si="14">SUM(C54:C57)</f>
        <v>3696</v>
      </c>
      <c r="D58" s="790">
        <f t="shared" si="14"/>
        <v>8741</v>
      </c>
      <c r="E58" s="790">
        <f t="shared" si="14"/>
        <v>12437</v>
      </c>
      <c r="F58" s="802">
        <f t="shared" si="14"/>
        <v>3899</v>
      </c>
      <c r="G58" s="802">
        <f t="shared" si="14"/>
        <v>9531</v>
      </c>
      <c r="H58" s="802">
        <f t="shared" si="14"/>
        <v>13430</v>
      </c>
      <c r="I58" s="802">
        <f t="shared" si="14"/>
        <v>3783</v>
      </c>
      <c r="J58" s="802">
        <f t="shared" si="14"/>
        <v>9857</v>
      </c>
      <c r="K58" s="802">
        <f t="shared" si="14"/>
        <v>13640</v>
      </c>
      <c r="L58" s="1050">
        <f t="shared" si="13"/>
        <v>0.2971777759909946</v>
      </c>
      <c r="N58" s="79"/>
    </row>
    <row r="59" spans="1:15" s="78" customFormat="1" ht="6.65" customHeight="1">
      <c r="A59" s="378"/>
      <c r="B59" s="593"/>
      <c r="C59" s="594"/>
      <c r="D59" s="592"/>
      <c r="E59" s="592"/>
      <c r="F59" s="592"/>
      <c r="G59" s="592"/>
      <c r="H59" s="592"/>
      <c r="I59" s="592"/>
      <c r="J59" s="592"/>
      <c r="K59" s="592"/>
      <c r="L59" s="592"/>
      <c r="M59" s="591"/>
      <c r="O59" s="79"/>
    </row>
    <row r="60" spans="1:15" s="78" customFormat="1" hidden="1">
      <c r="A60" s="378"/>
      <c r="B60" s="593"/>
      <c r="C60" s="594"/>
      <c r="D60" s="592"/>
      <c r="E60" s="592"/>
      <c r="F60" s="592"/>
      <c r="G60" s="592"/>
      <c r="H60" s="592"/>
      <c r="I60" s="592"/>
      <c r="J60" s="592"/>
      <c r="K60" s="592"/>
      <c r="L60" s="592"/>
      <c r="M60" s="591"/>
      <c r="O60" s="79"/>
    </row>
    <row r="61" spans="1:15" ht="17.5">
      <c r="B61" s="1135" t="s">
        <v>1088</v>
      </c>
      <c r="C61" s="1392" t="s">
        <v>427</v>
      </c>
      <c r="D61" s="1392"/>
      <c r="E61" s="1392"/>
      <c r="F61" s="1393" t="s">
        <v>412</v>
      </c>
      <c r="G61" s="1393"/>
      <c r="H61" s="1393"/>
      <c r="I61" s="1393" t="s">
        <v>406</v>
      </c>
      <c r="J61" s="1393"/>
      <c r="K61" s="1393"/>
      <c r="L61" s="602"/>
      <c r="M61" s="1394"/>
      <c r="N61" s="67"/>
      <c r="O61" s="67"/>
    </row>
    <row r="62" spans="1:15" ht="15">
      <c r="A62" s="15"/>
      <c r="B62" s="605" t="s">
        <v>713</v>
      </c>
      <c r="C62" s="606" t="s">
        <v>714</v>
      </c>
      <c r="D62" s="606" t="s">
        <v>715</v>
      </c>
      <c r="E62" s="606" t="s">
        <v>480</v>
      </c>
      <c r="F62" s="606" t="s">
        <v>714</v>
      </c>
      <c r="G62" s="606" t="s">
        <v>715</v>
      </c>
      <c r="H62" s="606" t="s">
        <v>480</v>
      </c>
      <c r="I62" s="606" t="s">
        <v>714</v>
      </c>
      <c r="J62" s="606" t="s">
        <v>715</v>
      </c>
      <c r="K62" s="606" t="s">
        <v>480</v>
      </c>
      <c r="L62" s="602"/>
      <c r="M62" s="1395"/>
      <c r="N62" s="99" t="s">
        <v>716</v>
      </c>
      <c r="O62" s="2"/>
    </row>
    <row r="63" spans="1:15" ht="16.5" customHeight="1">
      <c r="B63" s="626" t="s">
        <v>742</v>
      </c>
      <c r="C63" s="789">
        <v>748</v>
      </c>
      <c r="D63" s="789">
        <v>1496</v>
      </c>
      <c r="E63" s="792">
        <f>C63+D63</f>
        <v>2244</v>
      </c>
      <c r="F63" s="798">
        <v>718</v>
      </c>
      <c r="G63" s="798">
        <v>1355</v>
      </c>
      <c r="H63" s="798">
        <f>F63+G63</f>
        <v>2073</v>
      </c>
      <c r="I63" s="798">
        <v>475</v>
      </c>
      <c r="J63" s="798">
        <v>1117</v>
      </c>
      <c r="K63" s="798">
        <f>I63+J63</f>
        <v>1592</v>
      </c>
      <c r="L63" s="67"/>
      <c r="N63" s="67"/>
      <c r="O63" s="2"/>
    </row>
    <row r="64" spans="1:15" ht="17.25" customHeight="1">
      <c r="B64" s="626" t="s">
        <v>755</v>
      </c>
      <c r="C64" s="789">
        <v>449</v>
      </c>
      <c r="D64" s="789">
        <v>1082</v>
      </c>
      <c r="E64" s="792">
        <f>C64+D64</f>
        <v>1531</v>
      </c>
      <c r="F64" s="799">
        <v>444</v>
      </c>
      <c r="G64" s="799">
        <v>1115</v>
      </c>
      <c r="H64" s="799">
        <f>F64+G64</f>
        <v>1559</v>
      </c>
      <c r="I64" s="799">
        <v>317</v>
      </c>
      <c r="J64" s="799">
        <v>797</v>
      </c>
      <c r="K64" s="799">
        <f>I64+J64</f>
        <v>1114</v>
      </c>
      <c r="L64" s="67"/>
      <c r="N64" s="67"/>
      <c r="O64" s="2"/>
    </row>
    <row r="65" spans="2:16" ht="15">
      <c r="B65" s="626" t="s">
        <v>757</v>
      </c>
      <c r="C65" s="789">
        <v>375</v>
      </c>
      <c r="D65" s="789">
        <v>996</v>
      </c>
      <c r="E65" s="792">
        <f>C65+D65</f>
        <v>1371</v>
      </c>
      <c r="F65" s="799">
        <v>115</v>
      </c>
      <c r="G65" s="799">
        <v>396</v>
      </c>
      <c r="H65" s="799">
        <f>F65+G65</f>
        <v>511</v>
      </c>
      <c r="I65" s="799">
        <v>230</v>
      </c>
      <c r="J65" s="799">
        <v>782</v>
      </c>
      <c r="K65" s="799">
        <f>I65+J65</f>
        <v>1012</v>
      </c>
      <c r="L65" s="67"/>
      <c r="N65" s="67"/>
      <c r="O65" s="2"/>
    </row>
    <row r="66" spans="2:16" ht="15" hidden="1" customHeight="1">
      <c r="B66" s="652" t="s">
        <v>759</v>
      </c>
      <c r="C66" s="789">
        <v>125</v>
      </c>
      <c r="D66" s="789">
        <v>375</v>
      </c>
      <c r="E66" s="789">
        <f>C66+D66</f>
        <v>500</v>
      </c>
      <c r="F66" s="1379"/>
      <c r="G66" s="1379"/>
      <c r="H66" s="1379"/>
      <c r="I66" s="1379"/>
      <c r="J66" s="1379"/>
      <c r="K66" s="1379"/>
      <c r="L66" s="67"/>
      <c r="N66" s="67"/>
      <c r="O66" s="2"/>
    </row>
    <row r="67" spans="2:16" ht="15">
      <c r="B67" s="652" t="s">
        <v>760</v>
      </c>
      <c r="C67" s="753">
        <v>0.123</v>
      </c>
      <c r="D67" s="753">
        <v>0.121</v>
      </c>
      <c r="E67" s="753">
        <v>0.122</v>
      </c>
      <c r="F67" s="1380">
        <v>0.11550000000000001</v>
      </c>
      <c r="G67" s="1380"/>
      <c r="H67" s="1380"/>
      <c r="I67" s="1380">
        <v>8.2000000000000003E-2</v>
      </c>
      <c r="J67" s="1380"/>
      <c r="K67" s="1380"/>
      <c r="L67" s="67"/>
      <c r="N67" s="67"/>
      <c r="O67" s="2"/>
    </row>
    <row r="68" spans="2:16" ht="15">
      <c r="B68" s="652" t="s">
        <v>1105</v>
      </c>
      <c r="C68" s="753">
        <v>0.10299999999999999</v>
      </c>
      <c r="D68" s="753">
        <v>0.111</v>
      </c>
      <c r="E68" s="753">
        <v>0.109</v>
      </c>
      <c r="F68" s="1380">
        <v>3.7900000000000003E-2</v>
      </c>
      <c r="G68" s="1380"/>
      <c r="H68" s="1380"/>
      <c r="I68" s="1380">
        <v>7.4999999999999997E-2</v>
      </c>
      <c r="J68" s="1380"/>
      <c r="K68" s="1380"/>
      <c r="L68" s="67"/>
      <c r="N68" s="67"/>
      <c r="O68" s="2"/>
    </row>
    <row r="69" spans="2:16" ht="30" hidden="1" customHeight="1">
      <c r="B69" s="652" t="s">
        <v>764</v>
      </c>
      <c r="C69" s="753">
        <v>3.4000000000000002E-2</v>
      </c>
      <c r="D69" s="753">
        <v>3.7999999999999999E-2</v>
      </c>
      <c r="E69" s="753">
        <v>3.6999999999999998E-2</v>
      </c>
      <c r="F69" s="1404">
        <v>3.8199999999999998E-2</v>
      </c>
      <c r="G69" s="1404"/>
      <c r="H69" s="1404"/>
      <c r="I69" s="1388">
        <v>7.5999999999999998E-2</v>
      </c>
      <c r="J69" s="1388"/>
      <c r="K69" s="1388"/>
      <c r="L69" s="67"/>
      <c r="N69" s="67"/>
      <c r="O69" s="2"/>
    </row>
    <row r="70" spans="2:16" ht="15">
      <c r="B70" s="625" t="s">
        <v>1106</v>
      </c>
      <c r="C70" s="754">
        <f>C67+C68</f>
        <v>0.22599999999999998</v>
      </c>
      <c r="D70" s="754">
        <f>D67+D68</f>
        <v>0.23199999999999998</v>
      </c>
      <c r="E70" s="754">
        <f>E67+E68</f>
        <v>0.23099999999999998</v>
      </c>
      <c r="F70" s="1407">
        <f>F67+F68</f>
        <v>0.15340000000000001</v>
      </c>
      <c r="G70" s="1407"/>
      <c r="H70" s="1407"/>
      <c r="I70" s="1407">
        <f>I67+I68</f>
        <v>0.157</v>
      </c>
      <c r="J70" s="1407"/>
      <c r="K70" s="1407"/>
      <c r="L70" s="67"/>
      <c r="N70" s="67"/>
      <c r="O70" s="2"/>
    </row>
    <row r="71" spans="2:16" ht="13.5" hidden="1" customHeight="1">
      <c r="B71" s="603" t="s">
        <v>767</v>
      </c>
      <c r="C71" s="604">
        <f>C67+C69</f>
        <v>0.157</v>
      </c>
      <c r="D71" s="604">
        <f>D67+D69</f>
        <v>0.159</v>
      </c>
      <c r="E71" s="604">
        <f>E67+E69</f>
        <v>0.159</v>
      </c>
      <c r="F71" s="1408">
        <f>F67+F69</f>
        <v>0.1537</v>
      </c>
      <c r="G71" s="1409"/>
      <c r="H71" s="1410"/>
      <c r="I71" s="1408">
        <f>I67+I69</f>
        <v>0.158</v>
      </c>
      <c r="J71" s="1409"/>
      <c r="K71" s="1410"/>
      <c r="L71" s="67"/>
      <c r="N71" s="67"/>
      <c r="O71" s="2"/>
    </row>
    <row r="72" spans="2:16">
      <c r="B72" s="68" t="s">
        <v>1110</v>
      </c>
      <c r="C72" s="103"/>
      <c r="D72" s="69"/>
      <c r="E72" s="69"/>
      <c r="F72" s="69"/>
      <c r="G72" s="69"/>
      <c r="H72" s="69"/>
      <c r="I72" s="69"/>
      <c r="J72" s="69"/>
      <c r="K72" s="69"/>
      <c r="L72" s="69"/>
      <c r="M72" s="69"/>
      <c r="O72" s="67"/>
      <c r="P72" s="67"/>
    </row>
    <row r="73" spans="2:16">
      <c r="B73" s="67"/>
      <c r="C73" s="67"/>
      <c r="D73" s="67"/>
      <c r="E73" s="67"/>
      <c r="F73" s="67"/>
      <c r="G73" s="67"/>
      <c r="H73" s="67"/>
      <c r="I73" s="67"/>
      <c r="J73" s="67"/>
      <c r="K73" s="67"/>
      <c r="L73" s="67"/>
      <c r="M73" s="67"/>
      <c r="O73" s="67"/>
    </row>
    <row r="74" spans="2:16" s="87" customFormat="1" ht="17.5" hidden="1" customHeight="1">
      <c r="B74" s="81" t="s">
        <v>769</v>
      </c>
      <c r="C74" s="82" t="s">
        <v>662</v>
      </c>
      <c r="D74" s="83" t="s">
        <v>427</v>
      </c>
      <c r="E74" s="83" t="s">
        <v>412</v>
      </c>
      <c r="F74" s="83" t="s">
        <v>406</v>
      </c>
      <c r="G74" s="84"/>
      <c r="H74" s="85"/>
      <c r="I74" s="85"/>
      <c r="J74" s="84"/>
      <c r="K74" s="85"/>
      <c r="L74" s="85"/>
      <c r="M74" s="86"/>
      <c r="O74" s="86"/>
    </row>
    <row r="75" spans="2:16" s="87" customFormat="1" ht="17.5" hidden="1" customHeight="1">
      <c r="B75" s="88" t="s">
        <v>770</v>
      </c>
      <c r="C75" s="82"/>
      <c r="D75" s="89"/>
      <c r="E75" s="89"/>
      <c r="F75" s="89"/>
      <c r="G75" s="84"/>
      <c r="H75" s="85"/>
      <c r="I75" s="85"/>
      <c r="J75" s="84"/>
      <c r="K75" s="85"/>
      <c r="L75" s="85"/>
      <c r="M75" s="86"/>
      <c r="O75" s="86"/>
    </row>
    <row r="76" spans="2:16" s="87" customFormat="1" ht="13.5" hidden="1" customHeight="1">
      <c r="B76" s="90" t="s">
        <v>718</v>
      </c>
      <c r="C76" s="1403" t="s">
        <v>771</v>
      </c>
      <c r="D76" s="91"/>
      <c r="E76" s="91"/>
      <c r="F76" s="91"/>
      <c r="G76" s="86"/>
      <c r="H76" s="86"/>
      <c r="I76" s="86"/>
      <c r="J76" s="86"/>
      <c r="K76" s="86"/>
      <c r="L76" s="86"/>
      <c r="M76" s="86"/>
      <c r="O76" s="86"/>
    </row>
    <row r="77" spans="2:16" s="87" customFormat="1" ht="13.5" hidden="1" customHeight="1">
      <c r="B77" s="90" t="s">
        <v>720</v>
      </c>
      <c r="C77" s="1403"/>
      <c r="D77" s="91"/>
      <c r="E77" s="91"/>
      <c r="F77" s="91"/>
      <c r="G77" s="86"/>
      <c r="H77" s="86"/>
      <c r="I77" s="86"/>
      <c r="J77" s="86"/>
      <c r="K77" s="86"/>
      <c r="L77" s="86"/>
      <c r="M77" s="86"/>
      <c r="O77" s="86"/>
    </row>
    <row r="78" spans="2:16" s="87" customFormat="1" ht="13.5" hidden="1" customHeight="1">
      <c r="B78" s="90" t="s">
        <v>721</v>
      </c>
      <c r="C78" s="1403"/>
      <c r="D78" s="91"/>
      <c r="E78" s="91"/>
      <c r="F78" s="91"/>
      <c r="G78" s="86"/>
      <c r="H78" s="86"/>
      <c r="I78" s="86"/>
      <c r="J78" s="86"/>
      <c r="K78" s="86"/>
      <c r="L78" s="86"/>
      <c r="M78" s="86"/>
      <c r="O78" s="86"/>
    </row>
    <row r="79" spans="2:16" s="87" customFormat="1" ht="13.5" hidden="1" customHeight="1">
      <c r="B79" s="90" t="s">
        <v>722</v>
      </c>
      <c r="C79" s="1403"/>
      <c r="D79" s="91"/>
      <c r="E79" s="91"/>
      <c r="F79" s="91"/>
      <c r="G79" s="86"/>
      <c r="H79" s="86"/>
      <c r="I79" s="86"/>
      <c r="J79" s="86"/>
      <c r="K79" s="86"/>
      <c r="L79" s="86"/>
      <c r="M79" s="86"/>
      <c r="O79" s="86"/>
    </row>
    <row r="80" spans="2:16" s="87" customFormat="1" ht="13.5" hidden="1" customHeight="1">
      <c r="B80" s="90" t="s">
        <v>723</v>
      </c>
      <c r="C80" s="1403"/>
      <c r="D80" s="91"/>
      <c r="E80" s="91"/>
      <c r="F80" s="91"/>
      <c r="G80" s="86"/>
      <c r="H80" s="86"/>
      <c r="I80" s="86"/>
      <c r="J80" s="86"/>
      <c r="K80" s="86"/>
      <c r="L80" s="86"/>
      <c r="M80" s="86"/>
      <c r="O80" s="86"/>
    </row>
    <row r="81" spans="2:15" s="87" customFormat="1" ht="13.5" hidden="1" customHeight="1">
      <c r="B81" s="92" t="s">
        <v>724</v>
      </c>
      <c r="C81" s="1403"/>
      <c r="D81" s="91">
        <f>SUM(D76:D80)</f>
        <v>0</v>
      </c>
      <c r="E81" s="91">
        <f>SUM(E76:E80)</f>
        <v>0</v>
      </c>
      <c r="F81" s="91">
        <f>SUM(F76:F80)</f>
        <v>0</v>
      </c>
      <c r="G81" s="86"/>
      <c r="H81" s="86"/>
      <c r="I81" s="86"/>
      <c r="J81" s="86"/>
      <c r="K81" s="86"/>
      <c r="L81" s="86"/>
      <c r="M81" s="86"/>
      <c r="O81" s="86"/>
    </row>
    <row r="82" spans="2:15" s="87" customFormat="1" ht="13.5" hidden="1" customHeight="1">
      <c r="B82" s="93" t="s">
        <v>772</v>
      </c>
      <c r="C82" s="489"/>
      <c r="D82" s="91"/>
      <c r="E82" s="91"/>
      <c r="F82" s="91"/>
      <c r="G82" s="86"/>
      <c r="H82" s="86"/>
      <c r="I82" s="86"/>
      <c r="J82" s="86"/>
      <c r="K82" s="86"/>
      <c r="L82" s="86"/>
      <c r="M82" s="86"/>
      <c r="O82" s="86"/>
    </row>
    <row r="83" spans="2:15" s="87" customFormat="1" ht="13.5" hidden="1" customHeight="1">
      <c r="B83" s="90" t="s">
        <v>718</v>
      </c>
      <c r="C83" s="1403" t="s">
        <v>773</v>
      </c>
      <c r="D83" s="91">
        <v>376</v>
      </c>
      <c r="E83" s="91"/>
      <c r="F83" s="91"/>
      <c r="G83" s="86"/>
      <c r="H83" s="86"/>
      <c r="I83" s="86"/>
      <c r="J83" s="86"/>
      <c r="K83" s="86"/>
      <c r="L83" s="86"/>
      <c r="M83" s="86"/>
      <c r="O83" s="86"/>
    </row>
    <row r="84" spans="2:15" s="87" customFormat="1" ht="13.5" hidden="1" customHeight="1">
      <c r="B84" s="90" t="s">
        <v>720</v>
      </c>
      <c r="C84" s="1403"/>
      <c r="D84" s="91">
        <v>316</v>
      </c>
      <c r="E84" s="91"/>
      <c r="F84" s="91"/>
      <c r="G84" s="86"/>
      <c r="H84" s="86"/>
      <c r="I84" s="86"/>
      <c r="J84" s="86"/>
      <c r="K84" s="86"/>
      <c r="L84" s="86"/>
      <c r="M84" s="86"/>
      <c r="O84" s="86"/>
    </row>
    <row r="85" spans="2:15" s="87" customFormat="1" ht="13.5" hidden="1" customHeight="1">
      <c r="B85" s="90" t="s">
        <v>721</v>
      </c>
      <c r="C85" s="1403"/>
      <c r="D85" s="91">
        <v>72</v>
      </c>
      <c r="E85" s="91"/>
      <c r="F85" s="91"/>
      <c r="G85" s="86"/>
      <c r="H85" s="86"/>
      <c r="I85" s="86"/>
      <c r="J85" s="86"/>
      <c r="K85" s="86"/>
      <c r="L85" s="86"/>
      <c r="M85" s="86"/>
      <c r="O85" s="86"/>
    </row>
    <row r="86" spans="2:15" s="87" customFormat="1" ht="13.5" hidden="1" customHeight="1">
      <c r="B86" s="90" t="s">
        <v>722</v>
      </c>
      <c r="C86" s="1403"/>
      <c r="D86" s="91">
        <v>142</v>
      </c>
      <c r="E86" s="91"/>
      <c r="F86" s="91"/>
      <c r="G86" s="86"/>
      <c r="H86" s="86"/>
      <c r="I86" s="86"/>
      <c r="J86" s="86"/>
      <c r="K86" s="86"/>
      <c r="L86" s="86"/>
      <c r="M86" s="86"/>
      <c r="O86" s="86"/>
    </row>
    <row r="87" spans="2:15" s="87" customFormat="1" ht="13.5" hidden="1" customHeight="1">
      <c r="B87" s="90" t="s">
        <v>723</v>
      </c>
      <c r="C87" s="1403"/>
      <c r="D87" s="91">
        <v>43</v>
      </c>
      <c r="E87" s="91"/>
      <c r="F87" s="91"/>
      <c r="G87" s="86"/>
      <c r="H87" s="86"/>
      <c r="I87" s="86"/>
      <c r="J87" s="86"/>
      <c r="K87" s="86"/>
      <c r="L87" s="86"/>
      <c r="M87" s="86"/>
      <c r="O87" s="86"/>
    </row>
    <row r="88" spans="2:15" s="87" customFormat="1" ht="13.5" hidden="1" customHeight="1">
      <c r="B88" s="92" t="s">
        <v>724</v>
      </c>
      <c r="C88" s="1403"/>
      <c r="D88" s="91">
        <f>SUM(D83:D87)</f>
        <v>949</v>
      </c>
      <c r="E88" s="91">
        <f>SUM(E83:E87)</f>
        <v>0</v>
      </c>
      <c r="F88" s="91">
        <f>SUM(F83:F87)</f>
        <v>0</v>
      </c>
      <c r="G88" s="86"/>
      <c r="H88" s="86"/>
      <c r="I88" s="86"/>
      <c r="J88" s="86"/>
      <c r="K88" s="86"/>
      <c r="L88" s="86"/>
      <c r="M88" s="86"/>
      <c r="O88" s="86"/>
    </row>
    <row r="89" spans="2:15" s="87" customFormat="1" ht="13.5" hidden="1" customHeight="1">
      <c r="B89" s="93" t="s">
        <v>774</v>
      </c>
      <c r="C89" s="489"/>
      <c r="D89" s="91"/>
      <c r="E89" s="91"/>
      <c r="F89" s="91"/>
      <c r="G89" s="86"/>
      <c r="H89" s="86"/>
      <c r="I89" s="86"/>
      <c r="J89" s="86"/>
      <c r="K89" s="86"/>
      <c r="L89" s="86"/>
      <c r="M89" s="86"/>
      <c r="O89" s="86"/>
    </row>
    <row r="90" spans="2:15" s="87" customFormat="1" ht="13.5" hidden="1" customHeight="1">
      <c r="B90" s="90" t="s">
        <v>718</v>
      </c>
      <c r="C90" s="1403" t="s">
        <v>775</v>
      </c>
      <c r="D90" s="91"/>
      <c r="E90" s="91"/>
      <c r="F90" s="91"/>
      <c r="G90" s="86"/>
      <c r="H90" s="86"/>
      <c r="I90" s="86"/>
      <c r="J90" s="86"/>
      <c r="K90" s="86"/>
      <c r="L90" s="86"/>
      <c r="M90" s="86"/>
      <c r="O90" s="86"/>
    </row>
    <row r="91" spans="2:15" s="87" customFormat="1" ht="13.5" hidden="1" customHeight="1">
      <c r="B91" s="90" t="s">
        <v>720</v>
      </c>
      <c r="C91" s="1403"/>
      <c r="D91" s="91"/>
      <c r="E91" s="91"/>
      <c r="F91" s="91"/>
      <c r="G91" s="86"/>
      <c r="H91" s="86"/>
      <c r="I91" s="86"/>
      <c r="J91" s="86"/>
      <c r="K91" s="86"/>
      <c r="L91" s="86"/>
      <c r="M91" s="86"/>
      <c r="O91" s="86"/>
    </row>
    <row r="92" spans="2:15" s="87" customFormat="1" ht="13.5" hidden="1" customHeight="1">
      <c r="B92" s="90" t="s">
        <v>721</v>
      </c>
      <c r="C92" s="1403"/>
      <c r="D92" s="91"/>
      <c r="E92" s="91"/>
      <c r="F92" s="91"/>
      <c r="G92" s="86"/>
      <c r="H92" s="86"/>
      <c r="I92" s="86"/>
      <c r="J92" s="86"/>
      <c r="K92" s="86"/>
      <c r="L92" s="86"/>
      <c r="M92" s="86"/>
      <c r="O92" s="86"/>
    </row>
    <row r="93" spans="2:15" s="87" customFormat="1" ht="13.5" hidden="1" customHeight="1">
      <c r="B93" s="90" t="s">
        <v>722</v>
      </c>
      <c r="C93" s="1403"/>
      <c r="D93" s="91"/>
      <c r="E93" s="91"/>
      <c r="F93" s="91"/>
      <c r="G93" s="86"/>
      <c r="H93" s="86"/>
      <c r="I93" s="86"/>
      <c r="J93" s="86"/>
      <c r="K93" s="86"/>
      <c r="L93" s="86"/>
      <c r="M93" s="86"/>
      <c r="O93" s="86"/>
    </row>
    <row r="94" spans="2:15" s="87" customFormat="1" ht="13.5" hidden="1" customHeight="1">
      <c r="B94" s="90" t="s">
        <v>723</v>
      </c>
      <c r="C94" s="1403"/>
      <c r="D94" s="91"/>
      <c r="E94" s="91"/>
      <c r="F94" s="91"/>
      <c r="G94" s="86"/>
      <c r="H94" s="86"/>
      <c r="I94" s="86"/>
      <c r="J94" s="86"/>
      <c r="K94" s="86"/>
      <c r="L94" s="86"/>
      <c r="M94" s="86"/>
      <c r="O94" s="86"/>
    </row>
    <row r="95" spans="2:15" s="87" customFormat="1" ht="13.5" hidden="1" customHeight="1">
      <c r="B95" s="92" t="s">
        <v>724</v>
      </c>
      <c r="C95" s="1403"/>
      <c r="D95" s="91">
        <f>SUM(D90:D94)</f>
        <v>0</v>
      </c>
      <c r="E95" s="91">
        <f>SUM(E90:E94)</f>
        <v>0</v>
      </c>
      <c r="F95" s="91">
        <f>SUM(F90:F94)</f>
        <v>0</v>
      </c>
      <c r="G95" s="86"/>
      <c r="H95" s="86"/>
      <c r="I95" s="86"/>
      <c r="J95" s="86"/>
      <c r="K95" s="86"/>
      <c r="L95" s="86"/>
      <c r="M95" s="86"/>
      <c r="O95" s="86"/>
    </row>
    <row r="96" spans="2:15" s="87" customFormat="1" ht="13.5" hidden="1" customHeight="1">
      <c r="B96" s="633" t="s">
        <v>776</v>
      </c>
      <c r="C96" s="634"/>
      <c r="D96" s="635">
        <f>D81+D88+D95</f>
        <v>949</v>
      </c>
      <c r="E96" s="635">
        <f>E81+E88+E95</f>
        <v>0</v>
      </c>
      <c r="F96" s="91">
        <f>F81+F88+F95</f>
        <v>0</v>
      </c>
      <c r="G96" s="86"/>
      <c r="H96" s="86"/>
      <c r="I96" s="86"/>
      <c r="J96" s="86"/>
      <c r="K96" s="86"/>
      <c r="L96" s="86"/>
      <c r="M96" s="86"/>
      <c r="O96" s="86"/>
    </row>
    <row r="97" spans="1:15" ht="23.15" hidden="1" customHeight="1">
      <c r="A97" s="1406" t="s">
        <v>777</v>
      </c>
      <c r="B97" s="636" t="s">
        <v>1089</v>
      </c>
      <c r="C97" s="637" t="s">
        <v>427</v>
      </c>
      <c r="D97" s="645" t="s">
        <v>412</v>
      </c>
      <c r="E97" s="645" t="s">
        <v>406</v>
      </c>
      <c r="F97" s="67"/>
      <c r="G97" s="67"/>
      <c r="H97" s="67"/>
      <c r="I97" s="67"/>
      <c r="J97" s="67"/>
      <c r="K97" s="67"/>
      <c r="L97" s="67"/>
      <c r="N97" s="67"/>
      <c r="O97" s="2"/>
    </row>
    <row r="98" spans="1:15" hidden="1">
      <c r="A98" s="1406"/>
      <c r="B98" s="638" t="s">
        <v>718</v>
      </c>
      <c r="C98" s="639">
        <v>376</v>
      </c>
      <c r="D98" s="645"/>
      <c r="E98" s="645"/>
      <c r="F98" s="67"/>
      <c r="G98" s="67"/>
      <c r="H98" s="67"/>
      <c r="I98" s="67"/>
      <c r="J98" s="67"/>
      <c r="K98" s="67"/>
      <c r="L98" s="67"/>
      <c r="N98" s="67"/>
      <c r="O98" s="2"/>
    </row>
    <row r="99" spans="1:15" hidden="1">
      <c r="A99" s="1406"/>
      <c r="B99" s="638" t="s">
        <v>720</v>
      </c>
      <c r="C99" s="639">
        <v>316</v>
      </c>
      <c r="D99" s="645"/>
      <c r="E99" s="645"/>
      <c r="F99" s="67"/>
      <c r="G99" s="67"/>
      <c r="H99" s="67"/>
      <c r="I99" s="67"/>
      <c r="J99" s="67"/>
      <c r="K99" s="67"/>
      <c r="L99" s="67"/>
      <c r="N99" s="67"/>
      <c r="O99" s="2"/>
    </row>
    <row r="100" spans="1:15" hidden="1">
      <c r="A100" s="1406"/>
      <c r="B100" s="638" t="s">
        <v>721</v>
      </c>
      <c r="C100" s="639">
        <v>72</v>
      </c>
      <c r="D100" s="645"/>
      <c r="E100" s="645"/>
      <c r="F100" s="67"/>
      <c r="G100" s="67"/>
      <c r="H100" s="67"/>
      <c r="I100" s="67"/>
      <c r="J100" s="67"/>
      <c r="K100" s="67"/>
      <c r="L100" s="67"/>
      <c r="N100" s="67"/>
      <c r="O100" s="2"/>
    </row>
    <row r="101" spans="1:15" hidden="1">
      <c r="A101" s="1406"/>
      <c r="B101" s="638" t="s">
        <v>722</v>
      </c>
      <c r="C101" s="639">
        <v>142</v>
      </c>
      <c r="D101" s="645"/>
      <c r="E101" s="645"/>
      <c r="F101" s="67"/>
      <c r="G101" s="67"/>
      <c r="H101" s="67"/>
      <c r="I101" s="67"/>
      <c r="J101" s="67"/>
      <c r="K101" s="67"/>
      <c r="L101" s="67"/>
      <c r="N101" s="67"/>
      <c r="O101" s="2"/>
    </row>
    <row r="102" spans="1:15" hidden="1">
      <c r="A102" s="1406"/>
      <c r="B102" s="638" t="s">
        <v>723</v>
      </c>
      <c r="C102" s="639">
        <v>43</v>
      </c>
      <c r="D102" s="645"/>
      <c r="E102" s="645"/>
      <c r="F102" s="67"/>
      <c r="G102" s="67"/>
      <c r="H102" s="67"/>
      <c r="I102" s="67"/>
      <c r="J102" s="67"/>
      <c r="K102" s="67"/>
      <c r="L102" s="67"/>
      <c r="N102" s="67"/>
      <c r="O102" s="2"/>
    </row>
    <row r="103" spans="1:15" hidden="1">
      <c r="A103" s="1406"/>
      <c r="B103" s="640" t="s">
        <v>724</v>
      </c>
      <c r="C103" s="639">
        <f>SUM(C98:C102)</f>
        <v>949</v>
      </c>
      <c r="D103" s="645">
        <f>SUM(D98:D102)</f>
        <v>0</v>
      </c>
      <c r="E103" s="645">
        <f>SUM(E98:E102)</f>
        <v>0</v>
      </c>
      <c r="F103" s="67"/>
      <c r="G103" s="67"/>
      <c r="H103" s="67"/>
      <c r="I103" s="67"/>
      <c r="J103" s="67"/>
      <c r="K103" s="67"/>
      <c r="L103" s="67"/>
      <c r="N103" s="67"/>
      <c r="O103" s="2"/>
    </row>
    <row r="104" spans="1:15" ht="67.5" hidden="1">
      <c r="B104" s="624" t="s">
        <v>1090</v>
      </c>
      <c r="C104" s="1399" t="s">
        <v>427</v>
      </c>
      <c r="D104" s="1399"/>
      <c r="E104" s="1399"/>
      <c r="F104" s="1399" t="s">
        <v>412</v>
      </c>
      <c r="G104" s="1399"/>
      <c r="H104" s="1399"/>
      <c r="I104" s="1399" t="s">
        <v>406</v>
      </c>
      <c r="J104" s="1399"/>
      <c r="K104" s="1399"/>
      <c r="L104" s="67"/>
      <c r="M104" s="586" t="s">
        <v>1079</v>
      </c>
      <c r="N104" s="67"/>
      <c r="O104" s="2"/>
    </row>
    <row r="105" spans="1:15" ht="15" hidden="1">
      <c r="B105" s="605" t="s">
        <v>713</v>
      </c>
      <c r="C105" s="606" t="s">
        <v>714</v>
      </c>
      <c r="D105" s="606" t="s">
        <v>715</v>
      </c>
      <c r="E105" s="606" t="s">
        <v>480</v>
      </c>
      <c r="F105" s="606" t="s">
        <v>714</v>
      </c>
      <c r="G105" s="606" t="s">
        <v>715</v>
      </c>
      <c r="H105" s="606" t="s">
        <v>480</v>
      </c>
      <c r="I105" s="606" t="s">
        <v>714</v>
      </c>
      <c r="J105" s="606" t="s">
        <v>715</v>
      </c>
      <c r="K105" s="606" t="s">
        <v>480</v>
      </c>
      <c r="L105" s="67"/>
      <c r="N105" s="67"/>
      <c r="O105" s="2"/>
    </row>
    <row r="106" spans="1:15" hidden="1">
      <c r="A106" s="80"/>
      <c r="B106" s="641" t="s">
        <v>785</v>
      </c>
      <c r="C106" s="642"/>
      <c r="D106" s="642"/>
      <c r="E106" s="642"/>
      <c r="F106" s="642"/>
      <c r="G106" s="642"/>
      <c r="H106" s="642"/>
      <c r="I106" s="642"/>
      <c r="J106" s="642"/>
      <c r="K106" s="642"/>
      <c r="L106" s="67"/>
      <c r="N106" s="67"/>
      <c r="O106" s="2"/>
    </row>
    <row r="107" spans="1:15" hidden="1">
      <c r="A107" s="80"/>
      <c r="B107" s="638" t="s">
        <v>718</v>
      </c>
      <c r="C107" s="1400">
        <v>289</v>
      </c>
      <c r="D107" s="1400">
        <v>270</v>
      </c>
      <c r="E107" s="1400">
        <f>SUM(C107:D107)</f>
        <v>559</v>
      </c>
      <c r="F107" s="1387">
        <v>342</v>
      </c>
      <c r="G107" s="1387">
        <v>407</v>
      </c>
      <c r="H107" s="1387">
        <f>SUM(F107:G107)</f>
        <v>749</v>
      </c>
      <c r="I107" s="1387">
        <v>258</v>
      </c>
      <c r="J107" s="1387">
        <v>476</v>
      </c>
      <c r="K107" s="1387">
        <v>734</v>
      </c>
      <c r="L107" s="67"/>
      <c r="N107" s="67"/>
      <c r="O107" s="2"/>
    </row>
    <row r="108" spans="1:15" hidden="1">
      <c r="A108" s="80"/>
      <c r="B108" s="638" t="s">
        <v>720</v>
      </c>
      <c r="C108" s="1400"/>
      <c r="D108" s="1400"/>
      <c r="E108" s="1400"/>
      <c r="F108" s="1387"/>
      <c r="G108" s="1387"/>
      <c r="H108" s="1387"/>
      <c r="I108" s="1387"/>
      <c r="J108" s="1387"/>
      <c r="K108" s="1387"/>
      <c r="L108" s="67"/>
      <c r="N108" s="67"/>
      <c r="O108" s="2"/>
    </row>
    <row r="109" spans="1:15" hidden="1">
      <c r="A109" s="80"/>
      <c r="B109" s="638" t="s">
        <v>721</v>
      </c>
      <c r="C109" s="643">
        <v>21</v>
      </c>
      <c r="D109" s="643">
        <v>49</v>
      </c>
      <c r="E109" s="643">
        <f>SUM(C109:D109)</f>
        <v>70</v>
      </c>
      <c r="F109" s="642">
        <v>3</v>
      </c>
      <c r="G109" s="642">
        <v>8</v>
      </c>
      <c r="H109" s="642">
        <f>SUM(F109:G109)</f>
        <v>11</v>
      </c>
      <c r="I109" s="642">
        <v>12</v>
      </c>
      <c r="J109" s="642">
        <v>26</v>
      </c>
      <c r="K109" s="642">
        <v>38</v>
      </c>
      <c r="L109" s="67"/>
      <c r="N109" s="67"/>
      <c r="O109" s="2"/>
    </row>
    <row r="110" spans="1:15" hidden="1">
      <c r="A110" s="80"/>
      <c r="B110" s="638" t="s">
        <v>722</v>
      </c>
      <c r="C110" s="643">
        <v>16</v>
      </c>
      <c r="D110" s="643">
        <v>235</v>
      </c>
      <c r="E110" s="643">
        <f>SUM(C110:D110)</f>
        <v>251</v>
      </c>
      <c r="F110" s="642">
        <v>18</v>
      </c>
      <c r="G110" s="642">
        <v>124</v>
      </c>
      <c r="H110" s="642">
        <f>SUM(F110:G110)</f>
        <v>142</v>
      </c>
      <c r="I110" s="642">
        <v>34</v>
      </c>
      <c r="J110" s="642">
        <v>135</v>
      </c>
      <c r="K110" s="642">
        <v>169</v>
      </c>
      <c r="L110" s="67"/>
      <c r="N110" s="67"/>
      <c r="O110" s="2"/>
    </row>
    <row r="111" spans="1:15" hidden="1">
      <c r="A111" s="80"/>
      <c r="B111" s="638" t="s">
        <v>723</v>
      </c>
      <c r="C111" s="643">
        <v>1</v>
      </c>
      <c r="D111" s="643">
        <v>4</v>
      </c>
      <c r="E111" s="643">
        <f>SUM(C111:D111)</f>
        <v>5</v>
      </c>
      <c r="F111" s="642">
        <v>4</v>
      </c>
      <c r="G111" s="642">
        <v>9</v>
      </c>
      <c r="H111" s="642">
        <f>SUM(F111:G111)</f>
        <v>13</v>
      </c>
      <c r="I111" s="642">
        <v>1</v>
      </c>
      <c r="J111" s="642"/>
      <c r="K111" s="642">
        <v>1</v>
      </c>
      <c r="L111" s="67"/>
      <c r="N111" s="67"/>
      <c r="O111" s="2"/>
    </row>
    <row r="112" spans="1:15" hidden="1">
      <c r="A112" s="80"/>
      <c r="B112" s="640" t="s">
        <v>724</v>
      </c>
      <c r="C112" s="643">
        <f t="shared" ref="C112:K112" si="15">SUM(C107:C111)</f>
        <v>327</v>
      </c>
      <c r="D112" s="643">
        <f t="shared" si="15"/>
        <v>558</v>
      </c>
      <c r="E112" s="643">
        <f t="shared" si="15"/>
        <v>885</v>
      </c>
      <c r="F112" s="642">
        <f t="shared" si="15"/>
        <v>367</v>
      </c>
      <c r="G112" s="642">
        <f t="shared" si="15"/>
        <v>548</v>
      </c>
      <c r="H112" s="642">
        <f t="shared" si="15"/>
        <v>915</v>
      </c>
      <c r="I112" s="642">
        <f t="shared" si="15"/>
        <v>305</v>
      </c>
      <c r="J112" s="642">
        <f t="shared" si="15"/>
        <v>637</v>
      </c>
      <c r="K112" s="642">
        <f t="shared" si="15"/>
        <v>942</v>
      </c>
      <c r="L112" s="67"/>
      <c r="N112" s="67"/>
      <c r="O112" s="2"/>
    </row>
    <row r="113" spans="2:15">
      <c r="B113" s="67"/>
      <c r="C113" s="67"/>
      <c r="D113" s="67"/>
      <c r="E113" s="67"/>
      <c r="F113" s="67"/>
      <c r="G113" s="67"/>
      <c r="H113" s="67"/>
      <c r="I113" s="67"/>
      <c r="J113" s="67"/>
      <c r="K113" s="67"/>
      <c r="L113" s="67"/>
      <c r="M113" s="67"/>
      <c r="O113" s="67"/>
    </row>
    <row r="114" spans="2:15">
      <c r="B114" s="1398" t="s">
        <v>787</v>
      </c>
      <c r="C114" s="1392" t="s">
        <v>427</v>
      </c>
      <c r="D114" s="1392"/>
      <c r="E114" s="1392"/>
      <c r="F114" s="69"/>
      <c r="G114" s="69"/>
      <c r="H114" s="69"/>
      <c r="J114" s="69"/>
      <c r="K114" s="2"/>
      <c r="L114" s="2"/>
      <c r="M114" s="2"/>
      <c r="N114" s="2"/>
      <c r="O114" s="2"/>
    </row>
    <row r="115" spans="2:15" ht="54">
      <c r="B115" s="1398"/>
      <c r="C115" s="1136" t="s">
        <v>1128</v>
      </c>
      <c r="D115" s="1134" t="s">
        <v>789</v>
      </c>
      <c r="E115" s="1134" t="s">
        <v>790</v>
      </c>
      <c r="F115" s="69"/>
      <c r="G115" s="69"/>
      <c r="J115" s="69"/>
      <c r="K115" s="2"/>
      <c r="L115" s="2"/>
      <c r="M115" s="2"/>
      <c r="N115" s="2"/>
      <c r="O115" s="2"/>
    </row>
    <row r="116" spans="2:15" ht="15">
      <c r="B116" s="621" t="s">
        <v>718</v>
      </c>
      <c r="C116" s="793">
        <v>4162</v>
      </c>
      <c r="D116" s="794">
        <v>893</v>
      </c>
      <c r="E116" s="795">
        <f t="shared" ref="E116:E121" si="16">D116/(C116)</f>
        <v>0.2145603075444498</v>
      </c>
      <c r="F116" s="69"/>
      <c r="G116" s="69"/>
      <c r="H116" s="69"/>
      <c r="I116" s="69"/>
      <c r="J116" s="69"/>
      <c r="K116" s="2"/>
      <c r="L116" s="2"/>
      <c r="M116" s="2"/>
      <c r="N116" s="2"/>
      <c r="O116" s="2"/>
    </row>
    <row r="117" spans="2:15" ht="15">
      <c r="B117" s="621" t="s">
        <v>720</v>
      </c>
      <c r="C117" s="793">
        <v>2734</v>
      </c>
      <c r="D117" s="794">
        <v>668</v>
      </c>
      <c r="E117" s="795">
        <f t="shared" si="16"/>
        <v>0.24433065106071689</v>
      </c>
      <c r="F117" s="358"/>
      <c r="G117" s="69"/>
      <c r="H117" s="69"/>
      <c r="I117" s="69"/>
      <c r="J117" s="69"/>
      <c r="K117" s="2"/>
      <c r="L117" s="2"/>
      <c r="M117" s="2"/>
      <c r="N117" s="2"/>
      <c r="O117" s="2"/>
    </row>
    <row r="118" spans="2:15" ht="15">
      <c r="B118" s="621" t="s">
        <v>721</v>
      </c>
      <c r="C118" s="793">
        <v>2271</v>
      </c>
      <c r="D118" s="794">
        <v>397</v>
      </c>
      <c r="E118" s="795">
        <f t="shared" si="16"/>
        <v>0.17481285777190664</v>
      </c>
      <c r="F118" s="358"/>
      <c r="G118" s="69"/>
      <c r="H118" s="69"/>
      <c r="I118" s="69"/>
      <c r="J118" s="69"/>
      <c r="K118" s="2"/>
      <c r="L118" s="2"/>
      <c r="M118" s="2"/>
      <c r="N118" s="2"/>
      <c r="O118" s="2"/>
    </row>
    <row r="119" spans="2:15" ht="15">
      <c r="B119" s="621" t="s">
        <v>722</v>
      </c>
      <c r="C119" s="793">
        <v>2442</v>
      </c>
      <c r="D119" s="796">
        <v>660</v>
      </c>
      <c r="E119" s="795">
        <f t="shared" si="16"/>
        <v>0.27027027027027029</v>
      </c>
      <c r="F119" s="358"/>
      <c r="G119" s="69"/>
      <c r="H119" s="69"/>
      <c r="I119" s="69"/>
      <c r="J119" s="69"/>
      <c r="K119" s="2"/>
      <c r="L119" s="2"/>
      <c r="M119" s="2"/>
      <c r="N119" s="2"/>
      <c r="O119" s="2"/>
    </row>
    <row r="120" spans="2:15" ht="15">
      <c r="B120" s="621" t="s">
        <v>723</v>
      </c>
      <c r="C120" s="793">
        <v>1057</v>
      </c>
      <c r="D120" s="794">
        <v>545</v>
      </c>
      <c r="E120" s="795">
        <f t="shared" si="16"/>
        <v>0.51561021759697256</v>
      </c>
      <c r="F120" s="358"/>
      <c r="G120" s="69"/>
      <c r="H120" s="69"/>
      <c r="I120" s="69"/>
      <c r="J120" s="69"/>
      <c r="K120" s="2"/>
      <c r="L120" s="2"/>
      <c r="M120" s="2"/>
      <c r="N120" s="2"/>
      <c r="O120" s="2"/>
    </row>
    <row r="121" spans="2:15" ht="15">
      <c r="B121" s="776" t="s">
        <v>792</v>
      </c>
      <c r="C121" s="797">
        <f>SUM(C116:C120)</f>
        <v>12666</v>
      </c>
      <c r="D121" s="794">
        <f>SUM(D116:D120)</f>
        <v>3163</v>
      </c>
      <c r="E121" s="795">
        <f t="shared" si="16"/>
        <v>0.24972366966682458</v>
      </c>
      <c r="F121" s="358"/>
      <c r="G121" s="69"/>
      <c r="H121" s="69"/>
      <c r="I121" s="69"/>
      <c r="J121" s="69"/>
      <c r="K121" s="2"/>
      <c r="L121" s="2"/>
      <c r="M121" s="2"/>
      <c r="N121" s="2"/>
      <c r="O121" s="2"/>
    </row>
    <row r="122" spans="2:15">
      <c r="C122" s="98"/>
    </row>
    <row r="123" spans="2:15" ht="17.5">
      <c r="B123" s="1131" t="s">
        <v>793</v>
      </c>
      <c r="C123" s="1392" t="s">
        <v>427</v>
      </c>
      <c r="D123" s="1392"/>
      <c r="E123" s="1392"/>
      <c r="F123" s="1392"/>
      <c r="O123" s="2"/>
    </row>
    <row r="124" spans="2:15" ht="15">
      <c r="B124" s="605" t="s">
        <v>713</v>
      </c>
      <c r="C124" s="606" t="s">
        <v>714</v>
      </c>
      <c r="D124" s="606" t="s">
        <v>715</v>
      </c>
      <c r="E124" s="606" t="s">
        <v>480</v>
      </c>
      <c r="F124" s="606" t="s">
        <v>906</v>
      </c>
      <c r="O124" s="2"/>
    </row>
    <row r="125" spans="2:15" ht="15">
      <c r="B125" s="621" t="s">
        <v>718</v>
      </c>
      <c r="C125" s="789">
        <v>215</v>
      </c>
      <c r="D125" s="789">
        <v>370</v>
      </c>
      <c r="E125" s="789">
        <v>585</v>
      </c>
      <c r="F125" s="780">
        <f t="shared" ref="F125:F130" si="17">E125/E32</f>
        <v>0.14341750429026723</v>
      </c>
      <c r="O125" s="2"/>
    </row>
    <row r="126" spans="2:15" ht="15">
      <c r="B126" s="621" t="s">
        <v>720</v>
      </c>
      <c r="C126" s="789">
        <v>83</v>
      </c>
      <c r="D126" s="789">
        <v>102</v>
      </c>
      <c r="E126" s="789">
        <v>185</v>
      </c>
      <c r="F126" s="780">
        <f t="shared" si="17"/>
        <v>6.4730580825752268E-2</v>
      </c>
      <c r="O126" s="2"/>
    </row>
    <row r="127" spans="2:15" ht="15">
      <c r="B127" s="621" t="s">
        <v>721</v>
      </c>
      <c r="C127" s="789">
        <v>99</v>
      </c>
      <c r="D127" s="789">
        <v>205</v>
      </c>
      <c r="E127" s="789">
        <v>304</v>
      </c>
      <c r="F127" s="780">
        <f t="shared" si="17"/>
        <v>0.13906678865507777</v>
      </c>
      <c r="O127" s="2"/>
    </row>
    <row r="128" spans="2:15" ht="15">
      <c r="B128" s="621" t="s">
        <v>722</v>
      </c>
      <c r="C128" s="789">
        <v>42</v>
      </c>
      <c r="D128" s="789">
        <v>111</v>
      </c>
      <c r="E128" s="789">
        <v>153</v>
      </c>
      <c r="F128" s="780">
        <f t="shared" si="17"/>
        <v>6.2220414802765349E-2</v>
      </c>
      <c r="O128" s="2"/>
    </row>
    <row r="129" spans="1:15" ht="15">
      <c r="B129" s="621" t="s">
        <v>723</v>
      </c>
      <c r="C129" s="789">
        <v>13</v>
      </c>
      <c r="D129" s="789">
        <v>38</v>
      </c>
      <c r="E129" s="789">
        <v>51</v>
      </c>
      <c r="F129" s="780">
        <f t="shared" si="17"/>
        <v>4.8295454545454544E-2</v>
      </c>
      <c r="O129" s="2"/>
    </row>
    <row r="130" spans="1:15" ht="15">
      <c r="B130" s="776" t="s">
        <v>792</v>
      </c>
      <c r="C130" s="791">
        <f>SUM(C125:C129)</f>
        <v>452</v>
      </c>
      <c r="D130" s="791">
        <f>SUM(D125:D129)</f>
        <v>826</v>
      </c>
      <c r="E130" s="792">
        <f>SUM(E125:E129)</f>
        <v>1278</v>
      </c>
      <c r="F130" s="780">
        <f t="shared" si="17"/>
        <v>0.10112359550561797</v>
      </c>
      <c r="O130" s="2"/>
    </row>
    <row r="131" spans="1:15">
      <c r="C131" s="98"/>
    </row>
    <row r="132" spans="1:15" ht="17.5" hidden="1">
      <c r="A132" s="2" t="s">
        <v>952</v>
      </c>
      <c r="B132" s="460" t="s">
        <v>794</v>
      </c>
      <c r="C132" s="472" t="s">
        <v>662</v>
      </c>
      <c r="D132" s="1402" t="s">
        <v>427</v>
      </c>
      <c r="E132" s="1402"/>
      <c r="F132" s="1402"/>
    </row>
    <row r="133" spans="1:15" ht="162" hidden="1">
      <c r="A133" s="15" t="s">
        <v>954</v>
      </c>
      <c r="B133" s="473" t="s">
        <v>713</v>
      </c>
      <c r="C133" s="474" t="s">
        <v>907</v>
      </c>
      <c r="D133" s="475" t="s">
        <v>714</v>
      </c>
      <c r="E133" s="475" t="s">
        <v>715</v>
      </c>
      <c r="F133" s="475" t="s">
        <v>480</v>
      </c>
    </row>
    <row r="134" spans="1:15" hidden="1">
      <c r="B134" s="476" t="s">
        <v>795</v>
      </c>
      <c r="C134" s="477"/>
      <c r="D134" s="569"/>
      <c r="E134" s="569"/>
      <c r="F134" s="569"/>
    </row>
    <row r="135" spans="1:15" hidden="1">
      <c r="B135" s="476" t="s">
        <v>796</v>
      </c>
      <c r="C135" s="477"/>
      <c r="D135" s="569">
        <v>20</v>
      </c>
      <c r="E135" s="569">
        <v>6</v>
      </c>
      <c r="F135" s="569">
        <v>26</v>
      </c>
    </row>
    <row r="136" spans="1:15" ht="121.5" hidden="1" customHeight="1">
      <c r="B136" s="476" t="s">
        <v>797</v>
      </c>
      <c r="C136" s="479" t="s">
        <v>951</v>
      </c>
      <c r="D136" s="569">
        <v>0</v>
      </c>
      <c r="E136" s="569">
        <v>2</v>
      </c>
      <c r="F136" s="569">
        <v>2</v>
      </c>
    </row>
    <row r="137" spans="1:15" ht="162" hidden="1" customHeight="1">
      <c r="B137" s="476" t="s">
        <v>798</v>
      </c>
      <c r="C137" s="479" t="s">
        <v>950</v>
      </c>
      <c r="D137" s="569"/>
      <c r="E137" s="569"/>
      <c r="F137" s="569"/>
    </row>
    <row r="138" spans="1:15" ht="121.5" hidden="1">
      <c r="B138" s="476" t="s">
        <v>799</v>
      </c>
      <c r="C138" s="479" t="s">
        <v>951</v>
      </c>
      <c r="D138" s="570" t="s">
        <v>949</v>
      </c>
      <c r="E138" s="570" t="s">
        <v>948</v>
      </c>
      <c r="F138" s="569"/>
    </row>
    <row r="139" spans="1:15" ht="14.25" customHeight="1">
      <c r="C139" s="98"/>
    </row>
    <row r="140" spans="1:15" ht="17.5">
      <c r="B140" s="1131" t="s">
        <v>942</v>
      </c>
      <c r="C140" s="1392" t="s">
        <v>427</v>
      </c>
      <c r="D140" s="1392"/>
      <c r="E140" s="1392"/>
      <c r="F140" s="1392" t="s">
        <v>427</v>
      </c>
      <c r="G140" s="1392"/>
      <c r="H140" s="1392"/>
      <c r="O140" s="2"/>
    </row>
    <row r="141" spans="1:15" ht="15">
      <c r="A141" s="1397"/>
      <c r="B141" s="605" t="s">
        <v>713</v>
      </c>
      <c r="C141" s="606" t="s">
        <v>714</v>
      </c>
      <c r="D141" s="606" t="s">
        <v>715</v>
      </c>
      <c r="E141" s="606" t="s">
        <v>480</v>
      </c>
      <c r="F141" s="606" t="s">
        <v>714</v>
      </c>
      <c r="G141" s="606" t="s">
        <v>715</v>
      </c>
      <c r="H141" s="606" t="s">
        <v>480</v>
      </c>
      <c r="O141" s="2"/>
    </row>
    <row r="142" spans="1:15" ht="15">
      <c r="A142" s="1397"/>
      <c r="B142" s="774" t="s">
        <v>943</v>
      </c>
      <c r="C142" s="789">
        <v>3509</v>
      </c>
      <c r="D142" s="789">
        <v>7737</v>
      </c>
      <c r="E142" s="789">
        <v>11246</v>
      </c>
      <c r="F142" s="755">
        <v>0.98199999999999998</v>
      </c>
      <c r="G142" s="755">
        <v>0.89900000000000002</v>
      </c>
      <c r="H142" s="755">
        <v>0.92300000000000004</v>
      </c>
      <c r="O142" s="2"/>
    </row>
    <row r="143" spans="1:15" ht="15">
      <c r="B143" s="651" t="s">
        <v>944</v>
      </c>
      <c r="C143" s="789">
        <v>182</v>
      </c>
      <c r="D143" s="789">
        <v>230</v>
      </c>
      <c r="E143" s="789">
        <v>412</v>
      </c>
      <c r="F143" s="755">
        <v>0.91900000000000004</v>
      </c>
      <c r="G143" s="755">
        <v>0.89800000000000002</v>
      </c>
      <c r="H143" s="755">
        <v>0.90700000000000003</v>
      </c>
      <c r="O143" s="2"/>
    </row>
    <row r="144" spans="1:15" ht="15">
      <c r="B144" s="651" t="s">
        <v>990</v>
      </c>
      <c r="C144" s="790">
        <v>3691</v>
      </c>
      <c r="D144" s="790">
        <v>7967</v>
      </c>
      <c r="E144" s="790">
        <v>11658</v>
      </c>
      <c r="F144" s="756">
        <v>0.97799999999999998</v>
      </c>
      <c r="G144" s="756">
        <v>0.89900000000000002</v>
      </c>
      <c r="H144" s="756">
        <v>0.92200000000000004</v>
      </c>
      <c r="O144" s="2"/>
    </row>
    <row r="145" spans="1:15" ht="8" customHeight="1">
      <c r="C145" s="98"/>
    </row>
    <row r="146" spans="1:15" ht="13.5" hidden="1" customHeight="1">
      <c r="B146" s="1381" t="s">
        <v>942</v>
      </c>
      <c r="C146" s="1383" t="s">
        <v>662</v>
      </c>
      <c r="D146" s="1385" t="s">
        <v>427</v>
      </c>
      <c r="E146" s="1386"/>
      <c r="F146" s="69"/>
      <c r="G146" s="69"/>
    </row>
    <row r="147" spans="1:15" ht="13.5" hidden="1" customHeight="1">
      <c r="B147" s="1382"/>
      <c r="C147" s="1384"/>
      <c r="D147" s="317" t="s">
        <v>480</v>
      </c>
      <c r="E147" s="317" t="s">
        <v>357</v>
      </c>
      <c r="F147" s="69"/>
      <c r="G147" s="69"/>
    </row>
    <row r="148" spans="1:15" ht="270" hidden="1">
      <c r="B148" s="450" t="s">
        <v>964</v>
      </c>
      <c r="C148" s="574" t="s">
        <v>1073</v>
      </c>
      <c r="D148" s="572">
        <f>E37-980</f>
        <v>11658</v>
      </c>
      <c r="E148" s="573">
        <v>0.92200000000000004</v>
      </c>
      <c r="F148" s="481"/>
      <c r="G148" s="480"/>
      <c r="I148" s="480"/>
    </row>
    <row r="149" spans="1:15" ht="5.5" customHeight="1">
      <c r="C149" s="98"/>
    </row>
    <row r="150" spans="1:15" ht="17.5">
      <c r="B150" s="1135" t="s">
        <v>801</v>
      </c>
      <c r="C150" s="1137" t="s">
        <v>427</v>
      </c>
      <c r="D150" s="1138" t="s">
        <v>412</v>
      </c>
      <c r="E150" s="1138" t="s">
        <v>406</v>
      </c>
      <c r="F150" s="1138" t="s">
        <v>409</v>
      </c>
      <c r="O150" s="2"/>
    </row>
    <row r="151" spans="1:15" ht="15">
      <c r="B151" s="776" t="s">
        <v>803</v>
      </c>
      <c r="C151" s="757">
        <v>0.75</v>
      </c>
      <c r="D151" s="778" t="s">
        <v>805</v>
      </c>
      <c r="E151" s="758">
        <v>0.74</v>
      </c>
      <c r="F151" s="758">
        <v>0.64</v>
      </c>
      <c r="O151" s="2"/>
    </row>
    <row r="152" spans="1:15" ht="15">
      <c r="B152" s="621" t="s">
        <v>963</v>
      </c>
      <c r="C152" s="757"/>
      <c r="D152" s="778" t="s">
        <v>805</v>
      </c>
      <c r="E152" s="758">
        <v>0.65</v>
      </c>
      <c r="F152" s="758">
        <v>0.63</v>
      </c>
      <c r="O152" s="2"/>
    </row>
    <row r="153" spans="1:15" ht="15">
      <c r="B153" s="621" t="s">
        <v>962</v>
      </c>
      <c r="C153" s="759">
        <v>6.9</v>
      </c>
      <c r="D153" s="778" t="s">
        <v>805</v>
      </c>
      <c r="E153" s="760"/>
      <c r="F153" s="760"/>
      <c r="O153" s="2"/>
    </row>
    <row r="154" spans="1:15">
      <c r="C154" s="70"/>
      <c r="O154" s="2"/>
    </row>
    <row r="155" spans="1:15" ht="17.5">
      <c r="B155" s="1135" t="s">
        <v>1113</v>
      </c>
      <c r="C155" s="1137" t="s">
        <v>427</v>
      </c>
      <c r="O155" s="2"/>
    </row>
    <row r="156" spans="1:15" ht="15">
      <c r="A156" s="596"/>
      <c r="B156" s="777" t="s">
        <v>1091</v>
      </c>
      <c r="C156" s="761">
        <v>25.52</v>
      </c>
      <c r="M156" s="67"/>
      <c r="N156" s="67"/>
      <c r="O156" s="2"/>
    </row>
    <row r="157" spans="1:15" ht="14" customHeight="1">
      <c r="A157" s="596"/>
      <c r="B157" s="2"/>
      <c r="C157" s="70"/>
      <c r="D157" s="595"/>
      <c r="N157" s="67"/>
      <c r="O157" s="67"/>
    </row>
    <row r="158" spans="1:15" ht="19" customHeight="1">
      <c r="A158" s="596"/>
      <c r="B158" s="1135" t="s">
        <v>1112</v>
      </c>
      <c r="C158" s="1405" t="s">
        <v>427</v>
      </c>
      <c r="D158" s="1405"/>
      <c r="N158" s="67"/>
      <c r="O158" s="67"/>
    </row>
    <row r="159" spans="1:15" ht="27">
      <c r="A159" s="596"/>
      <c r="B159" s="614"/>
      <c r="C159" s="695" t="s">
        <v>1129</v>
      </c>
      <c r="D159" s="695" t="s">
        <v>814</v>
      </c>
      <c r="N159" s="67"/>
      <c r="O159" s="67"/>
    </row>
    <row r="160" spans="1:15" ht="15">
      <c r="A160" s="596"/>
      <c r="B160" s="777" t="s">
        <v>828</v>
      </c>
      <c r="C160" s="779">
        <f>F197</f>
        <v>11100</v>
      </c>
      <c r="D160" s="780">
        <f>G197</f>
        <v>0.87</v>
      </c>
      <c r="E160" s="781"/>
      <c r="F160" s="781"/>
      <c r="G160" s="781"/>
      <c r="N160" s="67"/>
      <c r="O160" s="67"/>
    </row>
    <row r="161" spans="1:15" ht="15">
      <c r="A161" s="596"/>
      <c r="B161" s="777" t="s">
        <v>825</v>
      </c>
      <c r="C161" s="779">
        <v>6123</v>
      </c>
      <c r="D161" s="780">
        <v>0.64</v>
      </c>
      <c r="E161" s="781"/>
      <c r="F161" s="781"/>
      <c r="G161" s="781"/>
      <c r="N161" s="67"/>
      <c r="O161" s="67"/>
    </row>
    <row r="162" spans="1:15" ht="15">
      <c r="A162" s="596"/>
      <c r="B162" s="777" t="s">
        <v>822</v>
      </c>
      <c r="C162" s="779">
        <v>3240</v>
      </c>
      <c r="D162" s="780">
        <v>0.72</v>
      </c>
      <c r="E162" s="781"/>
      <c r="F162" s="781"/>
      <c r="G162" s="781"/>
      <c r="N162" s="67"/>
      <c r="O162" s="67"/>
    </row>
    <row r="163" spans="1:15" ht="46.5" hidden="1" customHeight="1">
      <c r="A163" s="596"/>
      <c r="B163" s="67"/>
      <c r="C163" s="782"/>
      <c r="D163" s="783"/>
      <c r="E163" s="781"/>
      <c r="F163" s="781"/>
      <c r="G163" s="781"/>
      <c r="N163" s="67"/>
      <c r="O163" s="67"/>
    </row>
    <row r="164" spans="1:15" hidden="1">
      <c r="C164" s="784"/>
      <c r="D164" s="781"/>
      <c r="E164" s="781"/>
      <c r="F164" s="781"/>
      <c r="G164" s="781"/>
    </row>
    <row r="165" spans="1:15" ht="17.5" hidden="1">
      <c r="A165" s="2" t="s">
        <v>952</v>
      </c>
      <c r="B165" s="675" t="s">
        <v>807</v>
      </c>
      <c r="C165" s="1401" t="s">
        <v>427</v>
      </c>
      <c r="D165" s="1401"/>
      <c r="E165" s="1401"/>
      <c r="F165" s="1401"/>
      <c r="G165" s="1401"/>
      <c r="O165" s="2"/>
    </row>
    <row r="166" spans="1:15" ht="59" hidden="1" customHeight="1">
      <c r="B166" s="576"/>
      <c r="C166" s="785" t="s">
        <v>946</v>
      </c>
      <c r="D166" s="785" t="s">
        <v>811</v>
      </c>
      <c r="E166" s="785" t="s">
        <v>812</v>
      </c>
      <c r="F166" s="785" t="s">
        <v>813</v>
      </c>
      <c r="G166" s="785" t="s">
        <v>814</v>
      </c>
      <c r="O166" s="2"/>
    </row>
    <row r="167" spans="1:15" ht="14.5" hidden="1">
      <c r="B167" s="576" t="s">
        <v>815</v>
      </c>
      <c r="C167" s="786">
        <v>20</v>
      </c>
      <c r="D167" s="786">
        <v>491</v>
      </c>
      <c r="E167" s="786">
        <v>42</v>
      </c>
      <c r="F167" s="786">
        <v>553</v>
      </c>
      <c r="G167" s="787">
        <f t="shared" ref="G167:G174" si="18">D167/F167</f>
        <v>0.88788426763110306</v>
      </c>
      <c r="O167" s="2"/>
    </row>
    <row r="168" spans="1:15" ht="14.5" hidden="1">
      <c r="B168" s="576" t="s">
        <v>816</v>
      </c>
      <c r="C168" s="786">
        <v>58</v>
      </c>
      <c r="D168" s="786">
        <v>648</v>
      </c>
      <c r="E168" s="786">
        <v>177</v>
      </c>
      <c r="F168" s="786">
        <v>883</v>
      </c>
      <c r="G168" s="787">
        <f t="shared" si="18"/>
        <v>0.73386183465458665</v>
      </c>
      <c r="O168" s="2"/>
    </row>
    <row r="169" spans="1:15" ht="14.5" hidden="1">
      <c r="B169" s="576" t="s">
        <v>817</v>
      </c>
      <c r="C169" s="786">
        <v>2</v>
      </c>
      <c r="D169" s="786">
        <v>562</v>
      </c>
      <c r="E169" s="786">
        <v>188</v>
      </c>
      <c r="F169" s="786">
        <v>752</v>
      </c>
      <c r="G169" s="787">
        <f t="shared" si="18"/>
        <v>0.74734042553191493</v>
      </c>
      <c r="O169" s="2"/>
    </row>
    <row r="170" spans="1:15" ht="14.5" hidden="1">
      <c r="B170" s="576" t="s">
        <v>818</v>
      </c>
      <c r="C170" s="786">
        <v>2</v>
      </c>
      <c r="D170" s="786">
        <v>86</v>
      </c>
      <c r="E170" s="786">
        <v>44</v>
      </c>
      <c r="F170" s="786">
        <v>132</v>
      </c>
      <c r="G170" s="787">
        <f t="shared" si="18"/>
        <v>0.65151515151515149</v>
      </c>
      <c r="O170" s="2"/>
    </row>
    <row r="171" spans="1:15" ht="14.5" hidden="1">
      <c r="B171" s="576" t="s">
        <v>819</v>
      </c>
      <c r="C171" s="786">
        <v>2</v>
      </c>
      <c r="D171" s="786">
        <v>270</v>
      </c>
      <c r="E171" s="786">
        <v>92</v>
      </c>
      <c r="F171" s="786">
        <v>364</v>
      </c>
      <c r="G171" s="787">
        <f t="shared" si="18"/>
        <v>0.74175824175824179</v>
      </c>
      <c r="O171" s="2"/>
    </row>
    <row r="172" spans="1:15" ht="14.5" hidden="1">
      <c r="B172" s="576" t="s">
        <v>820</v>
      </c>
      <c r="C172" s="786">
        <v>1</v>
      </c>
      <c r="D172" s="786">
        <v>113</v>
      </c>
      <c r="E172" s="786">
        <v>47</v>
      </c>
      <c r="F172" s="786">
        <v>161</v>
      </c>
      <c r="G172" s="787">
        <f t="shared" si="18"/>
        <v>0.70186335403726707</v>
      </c>
      <c r="O172" s="2"/>
    </row>
    <row r="173" spans="1:15" ht="14.5" hidden="1">
      <c r="B173" s="576" t="s">
        <v>821</v>
      </c>
      <c r="C173" s="786">
        <v>159</v>
      </c>
      <c r="D173" s="786">
        <v>149</v>
      </c>
      <c r="E173" s="786">
        <v>87</v>
      </c>
      <c r="F173" s="786">
        <v>395</v>
      </c>
      <c r="G173" s="787">
        <f t="shared" si="18"/>
        <v>0.37721518987341773</v>
      </c>
      <c r="O173" s="2"/>
    </row>
    <row r="174" spans="1:15" ht="42.75" hidden="1" customHeight="1">
      <c r="B174" s="450" t="s">
        <v>822</v>
      </c>
      <c r="C174" s="577">
        <v>244</v>
      </c>
      <c r="D174" s="577">
        <v>2319</v>
      </c>
      <c r="E174" s="577">
        <v>677</v>
      </c>
      <c r="F174" s="577">
        <f t="shared" ref="F174:F196" si="19">SUM(C174:E174)</f>
        <v>3240</v>
      </c>
      <c r="G174" s="676">
        <f t="shared" si="18"/>
        <v>0.71574074074074079</v>
      </c>
      <c r="O174" s="2"/>
    </row>
    <row r="175" spans="1:15" hidden="1">
      <c r="B175" s="450"/>
      <c r="C175" s="569"/>
      <c r="D175" s="569"/>
      <c r="E175" s="569"/>
      <c r="F175" s="577">
        <f t="shared" si="19"/>
        <v>0</v>
      </c>
      <c r="G175" s="788"/>
      <c r="O175" s="2"/>
    </row>
    <row r="176" spans="1:15" hidden="1">
      <c r="B176" s="450"/>
      <c r="C176" s="569"/>
      <c r="D176" s="569"/>
      <c r="E176" s="569"/>
      <c r="F176" s="577">
        <f t="shared" si="19"/>
        <v>0</v>
      </c>
      <c r="G176" s="788"/>
      <c r="O176" s="2"/>
    </row>
    <row r="177" spans="2:15" hidden="1">
      <c r="B177" s="450"/>
      <c r="C177" s="569"/>
      <c r="D177" s="569"/>
      <c r="E177" s="569"/>
      <c r="F177" s="577">
        <f t="shared" si="19"/>
        <v>0</v>
      </c>
      <c r="G177" s="788"/>
      <c r="O177" s="2"/>
    </row>
    <row r="178" spans="2:15" hidden="1">
      <c r="B178" s="455"/>
      <c r="C178" s="569"/>
      <c r="D178" s="577" t="s">
        <v>811</v>
      </c>
      <c r="E178" s="577" t="s">
        <v>824</v>
      </c>
      <c r="F178" s="577">
        <f t="shared" si="19"/>
        <v>0</v>
      </c>
      <c r="G178" s="676"/>
      <c r="O178" s="2"/>
    </row>
    <row r="179" spans="2:15" hidden="1">
      <c r="B179" s="455" t="s">
        <v>815</v>
      </c>
      <c r="C179" s="569"/>
      <c r="D179" s="577">
        <v>617</v>
      </c>
      <c r="E179" s="577">
        <v>120</v>
      </c>
      <c r="F179" s="577">
        <f t="shared" si="19"/>
        <v>737</v>
      </c>
      <c r="G179" s="676">
        <v>83.7</v>
      </c>
      <c r="O179" s="2"/>
    </row>
    <row r="180" spans="2:15" hidden="1">
      <c r="B180" s="455" t="s">
        <v>816</v>
      </c>
      <c r="C180" s="569"/>
      <c r="D180" s="577">
        <v>1227</v>
      </c>
      <c r="E180" s="577">
        <v>462</v>
      </c>
      <c r="F180" s="577">
        <f t="shared" si="19"/>
        <v>1689</v>
      </c>
      <c r="G180" s="676">
        <v>72.599999999999994</v>
      </c>
      <c r="O180" s="2"/>
    </row>
    <row r="181" spans="2:15" hidden="1">
      <c r="B181" s="455" t="s">
        <v>817</v>
      </c>
      <c r="C181" s="569"/>
      <c r="D181" s="577">
        <v>518</v>
      </c>
      <c r="E181" s="577">
        <v>310</v>
      </c>
      <c r="F181" s="577">
        <f t="shared" si="19"/>
        <v>828</v>
      </c>
      <c r="G181" s="676">
        <v>62.6</v>
      </c>
      <c r="O181" s="2"/>
    </row>
    <row r="182" spans="2:15" hidden="1">
      <c r="B182" s="455" t="s">
        <v>818</v>
      </c>
      <c r="C182" s="569"/>
      <c r="D182" s="577">
        <v>91</v>
      </c>
      <c r="E182" s="577">
        <v>48</v>
      </c>
      <c r="F182" s="577">
        <f t="shared" si="19"/>
        <v>139</v>
      </c>
      <c r="G182" s="676">
        <v>65.5</v>
      </c>
      <c r="O182" s="2"/>
    </row>
    <row r="183" spans="2:15" hidden="1">
      <c r="B183" s="455" t="s">
        <v>819</v>
      </c>
      <c r="C183" s="569"/>
      <c r="D183" s="577">
        <v>435</v>
      </c>
      <c r="E183" s="577">
        <v>226</v>
      </c>
      <c r="F183" s="577">
        <f t="shared" si="19"/>
        <v>661</v>
      </c>
      <c r="G183" s="676">
        <v>65.8</v>
      </c>
      <c r="O183" s="2"/>
    </row>
    <row r="184" spans="2:15" hidden="1">
      <c r="B184" s="455" t="s">
        <v>820</v>
      </c>
      <c r="C184" s="569"/>
      <c r="D184" s="577">
        <v>264</v>
      </c>
      <c r="E184" s="577">
        <v>66</v>
      </c>
      <c r="F184" s="577">
        <f t="shared" si="19"/>
        <v>330</v>
      </c>
      <c r="G184" s="676">
        <v>80</v>
      </c>
      <c r="O184" s="2"/>
    </row>
    <row r="185" spans="2:15" hidden="1">
      <c r="B185" s="455" t="s">
        <v>821</v>
      </c>
      <c r="C185" s="569"/>
      <c r="D185" s="577">
        <v>754</v>
      </c>
      <c r="E185" s="577">
        <v>985</v>
      </c>
      <c r="F185" s="577">
        <f t="shared" si="19"/>
        <v>1739</v>
      </c>
      <c r="G185" s="676">
        <v>43.4</v>
      </c>
      <c r="O185" s="2"/>
    </row>
    <row r="186" spans="2:15" ht="48" hidden="1" customHeight="1">
      <c r="B186" s="455" t="s">
        <v>825</v>
      </c>
      <c r="C186" s="569">
        <v>0</v>
      </c>
      <c r="D186" s="577">
        <v>3906</v>
      </c>
      <c r="E186" s="577">
        <v>2217</v>
      </c>
      <c r="F186" s="577">
        <f t="shared" si="19"/>
        <v>6123</v>
      </c>
      <c r="G186" s="676">
        <f>D186/F186</f>
        <v>0.63792258696717297</v>
      </c>
      <c r="O186" s="2"/>
    </row>
    <row r="187" spans="2:15" hidden="1">
      <c r="B187" s="450"/>
      <c r="C187" s="569"/>
      <c r="D187" s="569"/>
      <c r="E187" s="569"/>
      <c r="F187" s="577">
        <f t="shared" si="19"/>
        <v>0</v>
      </c>
      <c r="G187" s="788"/>
      <c r="O187" s="2"/>
    </row>
    <row r="188" spans="2:15" hidden="1">
      <c r="B188" s="450"/>
      <c r="C188" s="569"/>
      <c r="D188" s="569"/>
      <c r="E188" s="569"/>
      <c r="F188" s="577">
        <f t="shared" si="19"/>
        <v>0</v>
      </c>
      <c r="G188" s="788"/>
      <c r="O188" s="2"/>
    </row>
    <row r="189" spans="2:15" ht="40.5" hidden="1">
      <c r="B189" s="455"/>
      <c r="C189" s="569" t="s">
        <v>827</v>
      </c>
      <c r="D189" s="577" t="s">
        <v>811</v>
      </c>
      <c r="E189" s="577" t="s">
        <v>824</v>
      </c>
      <c r="F189" s="577">
        <f t="shared" si="19"/>
        <v>0</v>
      </c>
      <c r="G189" s="676"/>
      <c r="O189" s="2"/>
    </row>
    <row r="190" spans="2:15" hidden="1">
      <c r="B190" s="455" t="s">
        <v>815</v>
      </c>
      <c r="C190" s="577">
        <v>6</v>
      </c>
      <c r="D190" s="577">
        <v>1261</v>
      </c>
      <c r="E190" s="577">
        <v>138</v>
      </c>
      <c r="F190" s="577">
        <f t="shared" si="19"/>
        <v>1405</v>
      </c>
      <c r="G190" s="676">
        <v>0.897509</v>
      </c>
      <c r="O190" s="2"/>
    </row>
    <row r="191" spans="2:15" hidden="1">
      <c r="B191" s="455" t="s">
        <v>816</v>
      </c>
      <c r="C191" s="577">
        <v>8</v>
      </c>
      <c r="D191" s="577">
        <v>4043</v>
      </c>
      <c r="E191" s="577">
        <v>531</v>
      </c>
      <c r="F191" s="577">
        <f t="shared" si="19"/>
        <v>4582</v>
      </c>
      <c r="G191" s="676">
        <v>0.88236599999999998</v>
      </c>
      <c r="O191" s="2"/>
    </row>
    <row r="192" spans="2:15" hidden="1">
      <c r="B192" s="455" t="s">
        <v>817</v>
      </c>
      <c r="C192" s="577">
        <v>1</v>
      </c>
      <c r="D192" s="577">
        <v>1221</v>
      </c>
      <c r="E192" s="577">
        <v>168</v>
      </c>
      <c r="F192" s="577">
        <f t="shared" si="19"/>
        <v>1390</v>
      </c>
      <c r="G192" s="676">
        <v>0.878417</v>
      </c>
      <c r="O192" s="2"/>
    </row>
    <row r="193" spans="2:15" hidden="1">
      <c r="B193" s="455" t="s">
        <v>818</v>
      </c>
      <c r="C193" s="577">
        <v>53</v>
      </c>
      <c r="D193" s="577">
        <v>372</v>
      </c>
      <c r="E193" s="577">
        <v>77</v>
      </c>
      <c r="F193" s="577">
        <f t="shared" si="19"/>
        <v>502</v>
      </c>
      <c r="G193" s="676">
        <v>0.74103600000000003</v>
      </c>
      <c r="O193" s="2"/>
    </row>
    <row r="194" spans="2:15" hidden="1">
      <c r="B194" s="455" t="s">
        <v>819</v>
      </c>
      <c r="C194" s="577">
        <v>11</v>
      </c>
      <c r="D194" s="577">
        <v>1506</v>
      </c>
      <c r="E194" s="577">
        <v>183</v>
      </c>
      <c r="F194" s="577">
        <f t="shared" si="19"/>
        <v>1700</v>
      </c>
      <c r="G194" s="676">
        <v>0.88588199999999995</v>
      </c>
      <c r="O194" s="2"/>
    </row>
    <row r="195" spans="2:15" hidden="1">
      <c r="B195" s="455" t="s">
        <v>820</v>
      </c>
      <c r="C195" s="577">
        <v>19</v>
      </c>
      <c r="D195" s="577">
        <v>1232</v>
      </c>
      <c r="E195" s="577">
        <v>260</v>
      </c>
      <c r="F195" s="577">
        <f t="shared" si="19"/>
        <v>1511</v>
      </c>
      <c r="G195" s="676">
        <v>0.81535400000000002</v>
      </c>
      <c r="O195" s="2"/>
    </row>
    <row r="196" spans="2:15" hidden="1">
      <c r="B196" s="455" t="s">
        <v>821</v>
      </c>
      <c r="C196" s="577"/>
      <c r="D196" s="577">
        <v>12</v>
      </c>
      <c r="E196" s="577"/>
      <c r="F196" s="577">
        <f t="shared" si="19"/>
        <v>12</v>
      </c>
      <c r="G196" s="676">
        <v>1</v>
      </c>
      <c r="O196" s="2"/>
    </row>
    <row r="197" spans="2:15" ht="32.25" hidden="1" customHeight="1">
      <c r="B197" s="455" t="s">
        <v>828</v>
      </c>
      <c r="C197" s="577"/>
      <c r="D197" s="577"/>
      <c r="E197" s="577"/>
      <c r="F197" s="577">
        <v>11100</v>
      </c>
      <c r="G197" s="676">
        <v>0.87</v>
      </c>
      <c r="O197" s="2"/>
    </row>
    <row r="198" spans="2:15" ht="13.5" hidden="1" customHeight="1">
      <c r="C198" s="781"/>
      <c r="D198" s="781"/>
      <c r="E198" s="781"/>
      <c r="F198" s="781"/>
      <c r="G198" s="781"/>
    </row>
    <row r="199" spans="2:15" ht="13.5" hidden="1" customHeight="1">
      <c r="C199" s="781"/>
      <c r="D199" s="781"/>
      <c r="E199" s="781"/>
      <c r="F199" s="781"/>
      <c r="G199" s="781"/>
    </row>
    <row r="200" spans="2:15" ht="13.5" customHeight="1">
      <c r="C200" s="781"/>
      <c r="D200" s="781"/>
      <c r="E200" s="781"/>
      <c r="F200" s="781"/>
      <c r="G200" s="781"/>
    </row>
    <row r="201" spans="2:15" ht="13.5" customHeight="1">
      <c r="C201" s="781"/>
      <c r="D201" s="781"/>
      <c r="E201" s="781"/>
      <c r="F201" s="781"/>
      <c r="G201" s="781"/>
    </row>
    <row r="202" spans="2:15" ht="13.5" customHeight="1">
      <c r="C202" s="781"/>
      <c r="D202" s="781"/>
      <c r="E202" s="781"/>
      <c r="F202" s="781"/>
      <c r="G202" s="781"/>
    </row>
  </sheetData>
  <sheetProtection algorithmName="SHA-512" hashValue="hhFI4lOqUPrNHMS/v5qyhLTUEj2qXl+YcvvEtyIf0qZ4Q0CQKK4G0gygpq2Tctrgo9RFjDTXJYE6/1lhvD4wIQ==" saltValue="g0OiToyGBu6jixcZ0/n9HA==" spinCount="100000" sheet="1" objects="1" scenarios="1"/>
  <mergeCells count="83">
    <mergeCell ref="F15:H15"/>
    <mergeCell ref="I15:K15"/>
    <mergeCell ref="L15:L16"/>
    <mergeCell ref="M15:M16"/>
    <mergeCell ref="B4:L4"/>
    <mergeCell ref="C15:E15"/>
    <mergeCell ref="K18:K19"/>
    <mergeCell ref="M18:M19"/>
    <mergeCell ref="N18:N19"/>
    <mergeCell ref="F25:F26"/>
    <mergeCell ref="G25:G26"/>
    <mergeCell ref="H25:H26"/>
    <mergeCell ref="I25:I26"/>
    <mergeCell ref="J25:J26"/>
    <mergeCell ref="K25:K26"/>
    <mergeCell ref="F18:F19"/>
    <mergeCell ref="G18:G19"/>
    <mergeCell ref="H18:H19"/>
    <mergeCell ref="I18:I19"/>
    <mergeCell ref="J18:J19"/>
    <mergeCell ref="K32:K33"/>
    <mergeCell ref="F55:F56"/>
    <mergeCell ref="G55:G56"/>
    <mergeCell ref="H55:H56"/>
    <mergeCell ref="I55:I56"/>
    <mergeCell ref="J55:J56"/>
    <mergeCell ref="K55:K56"/>
    <mergeCell ref="I46:K46"/>
    <mergeCell ref="F32:F33"/>
    <mergeCell ref="G32:G33"/>
    <mergeCell ref="H32:H33"/>
    <mergeCell ref="I32:I33"/>
    <mergeCell ref="J32:J33"/>
    <mergeCell ref="A97:A103"/>
    <mergeCell ref="C104:E104"/>
    <mergeCell ref="F104:H104"/>
    <mergeCell ref="F70:H70"/>
    <mergeCell ref="I70:K70"/>
    <mergeCell ref="F71:H71"/>
    <mergeCell ref="I71:K71"/>
    <mergeCell ref="C76:C81"/>
    <mergeCell ref="C165:G165"/>
    <mergeCell ref="C46:E46"/>
    <mergeCell ref="F46:H46"/>
    <mergeCell ref="D132:F132"/>
    <mergeCell ref="C140:E140"/>
    <mergeCell ref="F140:H140"/>
    <mergeCell ref="C83:C88"/>
    <mergeCell ref="C90:C95"/>
    <mergeCell ref="F66:H66"/>
    <mergeCell ref="F69:H69"/>
    <mergeCell ref="C158:D158"/>
    <mergeCell ref="F68:H68"/>
    <mergeCell ref="A141:A142"/>
    <mergeCell ref="C123:F123"/>
    <mergeCell ref="B114:B115"/>
    <mergeCell ref="C114:E114"/>
    <mergeCell ref="I104:K104"/>
    <mergeCell ref="C107:C108"/>
    <mergeCell ref="D107:D108"/>
    <mergeCell ref="E107:E108"/>
    <mergeCell ref="L46:L47"/>
    <mergeCell ref="M46:M47"/>
    <mergeCell ref="C61:E61"/>
    <mergeCell ref="F61:H61"/>
    <mergeCell ref="I61:K61"/>
    <mergeCell ref="M61:M62"/>
    <mergeCell ref="L48:L49"/>
    <mergeCell ref="L50:L51"/>
    <mergeCell ref="I66:K66"/>
    <mergeCell ref="F67:H67"/>
    <mergeCell ref="I67:K67"/>
    <mergeCell ref="B146:B147"/>
    <mergeCell ref="C146:C147"/>
    <mergeCell ref="D146:E146"/>
    <mergeCell ref="K107:K108"/>
    <mergeCell ref="F107:F108"/>
    <mergeCell ref="G107:G108"/>
    <mergeCell ref="H107:H108"/>
    <mergeCell ref="I107:I108"/>
    <mergeCell ref="J107:J108"/>
    <mergeCell ref="I68:K68"/>
    <mergeCell ref="I69:K69"/>
  </mergeCells>
  <pageMargins left="0.70866141732283472" right="0.70866141732283472" top="0.74803149606299213" bottom="0.74803149606299213" header="0.31496062992125984" footer="0.31496062992125984"/>
  <pageSetup paperSize="9" scale="52" fitToHeight="0" orientation="landscape" r:id="rId1"/>
  <rowBreaks count="1" manualBreakCount="1">
    <brk id="72" min="1" max="11"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0A01F-2334-4F3B-8E31-6E9D6B2032E3}">
  <sheetPr codeName="Sheet6">
    <tabColor theme="7"/>
    <pageSetUpPr fitToPage="1"/>
  </sheetPr>
  <dimension ref="B2:U42"/>
  <sheetViews>
    <sheetView zoomScale="80" zoomScaleNormal="80" zoomScaleSheetLayoutView="80" workbookViewId="0"/>
  </sheetViews>
  <sheetFormatPr defaultColWidth="8.81640625" defaultRowHeight="13.5"/>
  <cols>
    <col min="1" max="1" width="2.36328125" style="3" customWidth="1"/>
    <col min="2" max="2" width="73.81640625" style="3" customWidth="1"/>
    <col min="3" max="3" width="37.81640625" style="3" customWidth="1"/>
    <col min="4" max="4" width="12" style="3" bestFit="1" customWidth="1"/>
    <col min="5" max="5" width="18.81640625" style="3" bestFit="1" customWidth="1"/>
    <col min="6" max="6" width="12" style="3" bestFit="1" customWidth="1"/>
    <col min="7" max="7" width="16.90625" style="3" bestFit="1" customWidth="1"/>
    <col min="8" max="8" width="12" style="3" bestFit="1" customWidth="1"/>
    <col min="9" max="9" width="17.1796875" style="3" bestFit="1" customWidth="1"/>
    <col min="10" max="10" width="16.81640625" style="3" bestFit="1" customWidth="1"/>
    <col min="11" max="11" width="16.90625" style="3" bestFit="1" customWidth="1"/>
    <col min="12" max="12" width="15.81640625" style="3" customWidth="1"/>
    <col min="13" max="13" width="8.81640625" style="3"/>
    <col min="14" max="21" width="11.81640625" style="3" customWidth="1"/>
    <col min="22" max="16384" width="8.81640625" style="3"/>
  </cols>
  <sheetData>
    <row r="2" spans="2:11" ht="61" customHeight="1">
      <c r="B2" s="1419" t="s">
        <v>1167</v>
      </c>
      <c r="C2" s="1360"/>
      <c r="D2" s="1360"/>
      <c r="E2" s="1360"/>
      <c r="F2" s="1360"/>
      <c r="G2" s="1360"/>
      <c r="H2" s="1360"/>
      <c r="I2" s="1360"/>
      <c r="J2" s="1360"/>
    </row>
    <row r="3" spans="2:11">
      <c r="B3" s="518"/>
    </row>
    <row r="5" spans="2:11" ht="29" customHeight="1">
      <c r="B5" s="1422" t="s">
        <v>661</v>
      </c>
      <c r="C5" s="1422" t="s">
        <v>426</v>
      </c>
      <c r="D5" s="1420" t="s">
        <v>663</v>
      </c>
      <c r="E5" s="1420"/>
      <c r="F5" s="1421" t="s">
        <v>664</v>
      </c>
      <c r="G5" s="1421"/>
      <c r="H5" s="1421" t="s">
        <v>665</v>
      </c>
      <c r="I5" s="1421"/>
      <c r="J5" s="1421" t="s">
        <v>666</v>
      </c>
      <c r="K5" s="1421"/>
    </row>
    <row r="6" spans="2:11">
      <c r="B6" s="1422"/>
      <c r="C6" s="1422"/>
      <c r="D6" s="1140" t="s">
        <v>667</v>
      </c>
      <c r="E6" s="1141" t="s">
        <v>668</v>
      </c>
      <c r="F6" s="1142" t="s">
        <v>667</v>
      </c>
      <c r="G6" s="1143" t="s">
        <v>668</v>
      </c>
      <c r="H6" s="1142" t="s">
        <v>667</v>
      </c>
      <c r="I6" s="1143" t="s">
        <v>668</v>
      </c>
      <c r="J6" s="1142" t="s">
        <v>667</v>
      </c>
      <c r="K6" s="1143" t="s">
        <v>668</v>
      </c>
    </row>
    <row r="7" spans="2:11" ht="30">
      <c r="B7" s="662" t="s">
        <v>669</v>
      </c>
      <c r="C7" s="651" t="s">
        <v>670</v>
      </c>
      <c r="D7" s="1154">
        <v>10.23</v>
      </c>
      <c r="E7" s="1155" t="s">
        <v>671</v>
      </c>
      <c r="F7" s="815">
        <v>11.8</v>
      </c>
      <c r="G7" s="816" t="s">
        <v>671</v>
      </c>
      <c r="H7" s="815">
        <v>16.12</v>
      </c>
      <c r="I7" s="816" t="s">
        <v>671</v>
      </c>
      <c r="J7" s="815">
        <v>18.443351047652378</v>
      </c>
      <c r="K7" s="816" t="s">
        <v>671</v>
      </c>
    </row>
    <row r="8" spans="2:11" ht="15">
      <c r="B8" s="662" t="s">
        <v>672</v>
      </c>
      <c r="C8" s="662" t="s">
        <v>393</v>
      </c>
      <c r="D8" s="1155">
        <f>D23</f>
        <v>0.48</v>
      </c>
      <c r="E8" s="1155">
        <f>D24</f>
        <v>0.41</v>
      </c>
      <c r="F8" s="817">
        <v>0.59</v>
      </c>
      <c r="G8" s="817" t="s">
        <v>673</v>
      </c>
      <c r="H8" s="815">
        <v>0.56999999999999995</v>
      </c>
      <c r="I8" s="817" t="s">
        <v>673</v>
      </c>
      <c r="J8" s="815">
        <v>0.78427488081668739</v>
      </c>
      <c r="K8" s="817" t="s">
        <v>673</v>
      </c>
    </row>
    <row r="9" spans="2:11" ht="15">
      <c r="B9" s="662" t="s">
        <v>674</v>
      </c>
      <c r="C9" s="662" t="s">
        <v>387</v>
      </c>
      <c r="D9" s="1155">
        <v>1.1599999999999999</v>
      </c>
      <c r="E9" s="1155">
        <v>1.37</v>
      </c>
      <c r="F9" s="817">
        <v>1.45</v>
      </c>
      <c r="G9" s="817">
        <v>1.33</v>
      </c>
      <c r="H9" s="815">
        <v>1.29</v>
      </c>
      <c r="I9" s="815">
        <v>1.1299999999999999</v>
      </c>
      <c r="J9" s="815">
        <v>1.4464112881567741</v>
      </c>
      <c r="K9" s="815">
        <v>1.33</v>
      </c>
    </row>
    <row r="10" spans="2:11" ht="15">
      <c r="B10" s="662" t="s">
        <v>675</v>
      </c>
      <c r="C10" s="662" t="s">
        <v>393</v>
      </c>
      <c r="D10" s="1155">
        <f>D20</f>
        <v>0.23</v>
      </c>
      <c r="E10" s="1155">
        <f>D21</f>
        <v>0.27</v>
      </c>
      <c r="F10" s="815">
        <v>0.3</v>
      </c>
      <c r="G10" s="817" t="s">
        <v>673</v>
      </c>
      <c r="H10" s="815">
        <v>0.28999999999999998</v>
      </c>
      <c r="I10" s="817" t="s">
        <v>673</v>
      </c>
      <c r="J10" s="815">
        <v>0.34713806200082886</v>
      </c>
      <c r="K10" s="817" t="s">
        <v>673</v>
      </c>
    </row>
    <row r="11" spans="2:11" ht="30">
      <c r="B11" s="662" t="s">
        <v>676</v>
      </c>
      <c r="C11" s="662" t="s">
        <v>387</v>
      </c>
      <c r="D11" s="1155">
        <v>0.08</v>
      </c>
      <c r="E11" s="1155" t="s">
        <v>671</v>
      </c>
      <c r="F11" s="817">
        <v>0.16</v>
      </c>
      <c r="G11" s="816" t="s">
        <v>671</v>
      </c>
      <c r="H11" s="815">
        <v>0.11</v>
      </c>
      <c r="I11" s="816" t="s">
        <v>671</v>
      </c>
      <c r="J11" s="815">
        <v>0.44999462298210752</v>
      </c>
      <c r="K11" s="816" t="s">
        <v>671</v>
      </c>
    </row>
    <row r="12" spans="2:11" ht="25" hidden="1" customHeight="1">
      <c r="B12" s="519" t="s">
        <v>677</v>
      </c>
      <c r="C12" s="519"/>
      <c r="F12" s="520"/>
      <c r="G12" s="497"/>
      <c r="H12" s="521"/>
      <c r="I12" s="520"/>
      <c r="J12" s="497"/>
      <c r="K12" s="521"/>
    </row>
    <row r="13" spans="2:11" ht="11.5" hidden="1" customHeight="1">
      <c r="B13" s="522" t="s">
        <v>678</v>
      </c>
      <c r="C13" s="598" t="s">
        <v>679</v>
      </c>
      <c r="D13" s="598"/>
      <c r="E13" s="598"/>
      <c r="G13" s="523"/>
    </row>
    <row r="14" spans="2:11" ht="11.5" hidden="1" customHeight="1">
      <c r="B14" s="522" t="s">
        <v>680</v>
      </c>
      <c r="C14" s="1418" t="s">
        <v>681</v>
      </c>
      <c r="D14" s="1418"/>
      <c r="E14" s="1418"/>
      <c r="F14" s="1418"/>
      <c r="G14" s="523"/>
    </row>
    <row r="15" spans="2:11" ht="11.5" hidden="1" customHeight="1">
      <c r="B15" s="524" t="s">
        <v>682</v>
      </c>
      <c r="C15" s="1418" t="s">
        <v>683</v>
      </c>
      <c r="D15" s="1418"/>
      <c r="E15" s="1418"/>
      <c r="F15" s="1418"/>
      <c r="G15" s="523"/>
    </row>
    <row r="16" spans="2:11" ht="11.5" hidden="1" customHeight="1">
      <c r="B16" s="524" t="s">
        <v>684</v>
      </c>
      <c r="C16" s="1418" t="s">
        <v>685</v>
      </c>
      <c r="D16" s="1418"/>
      <c r="E16" s="1418"/>
      <c r="F16" s="1418"/>
      <c r="G16" s="523"/>
    </row>
    <row r="17" spans="2:21" ht="26.5" customHeight="1">
      <c r="G17" s="523"/>
    </row>
    <row r="18" spans="2:21" ht="40.75" customHeight="1">
      <c r="B18" s="1139" t="s">
        <v>661</v>
      </c>
      <c r="C18" s="1144" t="s">
        <v>426</v>
      </c>
      <c r="D18" s="1141" t="s">
        <v>427</v>
      </c>
      <c r="E18" s="1143" t="s">
        <v>412</v>
      </c>
      <c r="F18" s="1143" t="s">
        <v>406</v>
      </c>
      <c r="G18" s="1143" t="s">
        <v>409</v>
      </c>
      <c r="H18" s="1143" t="s">
        <v>686</v>
      </c>
      <c r="I18" s="1141" t="s">
        <v>620</v>
      </c>
      <c r="J18" s="1145" t="s">
        <v>622</v>
      </c>
      <c r="N18" s="3" t="str">
        <f>H18</f>
        <v>2018/19</v>
      </c>
      <c r="O18" s="3" t="str">
        <f>G18</f>
        <v>2019/20</v>
      </c>
      <c r="P18" s="3" t="str">
        <f>F18</f>
        <v>2020/21</v>
      </c>
      <c r="Q18" s="3" t="str">
        <f>E18</f>
        <v>2021/22</v>
      </c>
      <c r="R18" s="3" t="str">
        <f>D18</f>
        <v>2022/23</v>
      </c>
    </row>
    <row r="19" spans="2:21" ht="30">
      <c r="B19" s="651" t="s">
        <v>687</v>
      </c>
      <c r="C19" s="662" t="s">
        <v>393</v>
      </c>
      <c r="D19" s="1149">
        <v>0.24</v>
      </c>
      <c r="E19" s="809">
        <v>0.3</v>
      </c>
      <c r="F19" s="808">
        <v>0.28000000000000003</v>
      </c>
      <c r="G19" s="808">
        <v>0.34</v>
      </c>
      <c r="H19" s="808">
        <v>0.56000000000000005</v>
      </c>
      <c r="I19" s="741"/>
      <c r="J19" s="741"/>
      <c r="M19" s="541" t="str">
        <f>B19</f>
        <v>Lost Time Injury and Illness Rate(LTIIR) 
employees + contractors</v>
      </c>
      <c r="N19" s="541">
        <f>H19</f>
        <v>0.56000000000000005</v>
      </c>
      <c r="O19" s="541">
        <f>G19</f>
        <v>0.34</v>
      </c>
      <c r="P19" s="541">
        <f>F19</f>
        <v>0.28000000000000003</v>
      </c>
      <c r="Q19" s="541">
        <f>E19</f>
        <v>0.3</v>
      </c>
      <c r="R19" s="541">
        <f>D19</f>
        <v>0.24</v>
      </c>
      <c r="S19" s="541"/>
      <c r="T19" s="541"/>
      <c r="U19" s="541"/>
    </row>
    <row r="20" spans="2:21" ht="15">
      <c r="B20" s="774" t="s">
        <v>688</v>
      </c>
      <c r="C20" s="662" t="s">
        <v>393</v>
      </c>
      <c r="D20" s="1149">
        <v>0.23</v>
      </c>
      <c r="E20" s="809">
        <v>0.3</v>
      </c>
      <c r="F20" s="808">
        <v>0.28999999999999998</v>
      </c>
      <c r="G20" s="808">
        <v>0.35</v>
      </c>
      <c r="H20" s="808">
        <v>0.56999999999999995</v>
      </c>
      <c r="I20" s="1147"/>
      <c r="J20" s="1147"/>
      <c r="M20" s="541"/>
      <c r="N20" s="541"/>
      <c r="O20" s="541"/>
      <c r="P20" s="541"/>
      <c r="Q20" s="541"/>
      <c r="R20" s="541"/>
      <c r="S20" s="541"/>
      <c r="T20" s="541"/>
      <c r="U20" s="541"/>
    </row>
    <row r="21" spans="2:21" ht="15">
      <c r="B21" s="774" t="s">
        <v>689</v>
      </c>
      <c r="C21" s="662" t="s">
        <v>393</v>
      </c>
      <c r="D21" s="1149">
        <v>0.27</v>
      </c>
      <c r="E21" s="808">
        <v>0.27</v>
      </c>
      <c r="F21" s="808">
        <v>0.23</v>
      </c>
      <c r="G21" s="808">
        <v>0.27</v>
      </c>
      <c r="H21" s="808">
        <v>0.4</v>
      </c>
      <c r="I21" s="1147"/>
      <c r="J21" s="1147"/>
      <c r="M21" s="541"/>
      <c r="N21" s="541"/>
      <c r="O21" s="541"/>
      <c r="P21" s="541"/>
      <c r="Q21" s="541"/>
      <c r="R21" s="541"/>
      <c r="S21" s="541"/>
      <c r="T21" s="541"/>
      <c r="U21" s="541"/>
    </row>
    <row r="22" spans="2:21" ht="30">
      <c r="B22" s="651" t="s">
        <v>690</v>
      </c>
      <c r="C22" s="662" t="s">
        <v>393</v>
      </c>
      <c r="D22" s="1149">
        <v>0.47</v>
      </c>
      <c r="E22" s="808">
        <v>0.59</v>
      </c>
      <c r="F22" s="808">
        <v>0.55000000000000004</v>
      </c>
      <c r="G22" s="808">
        <v>0.79</v>
      </c>
      <c r="H22" s="808">
        <v>0.97</v>
      </c>
      <c r="I22" s="1148">
        <f>(D22-E22)/E22</f>
        <v>-0.20338983050847459</v>
      </c>
      <c r="J22" s="1148">
        <f>(D22-G22)/(0.25-G22)</f>
        <v>0.59259259259259267</v>
      </c>
      <c r="M22" s="541" t="str">
        <f>B22</f>
        <v>Total Recordable Injury and Illness Rate(TRIIR)
employees + contractors</v>
      </c>
      <c r="N22" s="541">
        <f>H22</f>
        <v>0.97</v>
      </c>
      <c r="O22" s="541">
        <f>G22</f>
        <v>0.79</v>
      </c>
      <c r="P22" s="541">
        <f>F22</f>
        <v>0.55000000000000004</v>
      </c>
      <c r="Q22" s="541">
        <f>E22</f>
        <v>0.59</v>
      </c>
      <c r="R22" s="541">
        <f>D22</f>
        <v>0.47</v>
      </c>
      <c r="S22" s="541"/>
      <c r="T22" s="541"/>
      <c r="U22" s="541"/>
    </row>
    <row r="23" spans="2:21" ht="15">
      <c r="B23" s="774" t="s">
        <v>691</v>
      </c>
      <c r="C23" s="662" t="s">
        <v>393</v>
      </c>
      <c r="D23" s="1149">
        <v>0.48</v>
      </c>
      <c r="E23" s="808">
        <v>0.61</v>
      </c>
      <c r="F23" s="808">
        <v>0.56999999999999995</v>
      </c>
      <c r="G23" s="808">
        <v>0.79</v>
      </c>
      <c r="H23" s="808">
        <v>1.01</v>
      </c>
      <c r="I23" s="1147"/>
      <c r="J23" s="1147"/>
      <c r="M23" s="541"/>
      <c r="N23" s="541"/>
      <c r="O23" s="541"/>
      <c r="P23" s="541"/>
      <c r="Q23" s="541"/>
      <c r="R23" s="541"/>
      <c r="S23" s="541"/>
      <c r="T23" s="541"/>
      <c r="U23" s="541"/>
    </row>
    <row r="24" spans="2:21" ht="15">
      <c r="B24" s="774" t="s">
        <v>692</v>
      </c>
      <c r="C24" s="662" t="s">
        <v>393</v>
      </c>
      <c r="D24" s="1149">
        <v>0.41</v>
      </c>
      <c r="E24" s="808">
        <v>0.49</v>
      </c>
      <c r="F24" s="808">
        <v>0.45</v>
      </c>
      <c r="G24" s="808">
        <v>0.8</v>
      </c>
      <c r="H24" s="808">
        <v>0.53</v>
      </c>
      <c r="I24" s="1147"/>
      <c r="J24" s="1147"/>
      <c r="M24" s="541"/>
      <c r="N24" s="541"/>
      <c r="O24" s="541"/>
      <c r="P24" s="541"/>
      <c r="Q24" s="541"/>
      <c r="R24" s="541"/>
      <c r="S24" s="541"/>
      <c r="T24" s="541"/>
      <c r="U24" s="541"/>
    </row>
    <row r="25" spans="2:21" ht="15">
      <c r="B25" s="651" t="s">
        <v>693</v>
      </c>
      <c r="C25" s="651" t="s">
        <v>395</v>
      </c>
      <c r="D25" s="1150">
        <v>1.0149999999999999</v>
      </c>
      <c r="E25" s="809">
        <v>1.3220000000000001</v>
      </c>
      <c r="F25" s="809">
        <v>0.77</v>
      </c>
      <c r="G25" s="809">
        <v>1.1819999999999999</v>
      </c>
      <c r="H25" s="809">
        <v>1.5349999999999999</v>
      </c>
      <c r="I25" s="1148">
        <f>(D25-E25)/E25</f>
        <v>-0.23222390317700464</v>
      </c>
      <c r="J25" s="1148">
        <f>(D25-G25)/(0.4-G25)</f>
        <v>0.21355498721227628</v>
      </c>
      <c r="M25" s="541" t="str">
        <f>B25</f>
        <v>ICCA - Process Safety Event Severity Rate (PSESR)</v>
      </c>
      <c r="N25" s="541">
        <f>H25</f>
        <v>1.5349999999999999</v>
      </c>
      <c r="O25" s="541">
        <f>G25</f>
        <v>1.1819999999999999</v>
      </c>
      <c r="P25" s="541">
        <f>F25</f>
        <v>0.77</v>
      </c>
      <c r="Q25" s="541">
        <f>E25</f>
        <v>1.3220000000000001</v>
      </c>
      <c r="R25" s="541">
        <f>D25</f>
        <v>1.0149999999999999</v>
      </c>
      <c r="S25" s="541"/>
      <c r="T25" s="541"/>
      <c r="U25" s="541"/>
    </row>
    <row r="26" spans="2:21" ht="15">
      <c r="B26" s="662" t="s">
        <v>694</v>
      </c>
      <c r="C26" s="662" t="s">
        <v>695</v>
      </c>
      <c r="D26" s="1151">
        <f>D27*D28</f>
        <v>8.9885754640000002</v>
      </c>
      <c r="E26" s="810">
        <f>E27*E28</f>
        <v>11.004886842000001</v>
      </c>
      <c r="F26" s="810">
        <f>F27*F28</f>
        <v>5.0102105450000005</v>
      </c>
      <c r="G26" s="810">
        <f>G27*G28</f>
        <v>3.9997423400000001</v>
      </c>
      <c r="H26" s="810">
        <f>H27*H28</f>
        <v>3.0076201609999997</v>
      </c>
      <c r="I26" s="1148"/>
      <c r="J26" s="1148"/>
      <c r="M26" s="541"/>
      <c r="N26" s="541"/>
      <c r="O26" s="541"/>
      <c r="P26" s="541"/>
      <c r="Q26" s="541"/>
      <c r="R26" s="541"/>
      <c r="S26" s="541"/>
      <c r="T26" s="541"/>
      <c r="U26" s="541"/>
    </row>
    <row r="27" spans="2:21" ht="15">
      <c r="B27" s="662" t="s">
        <v>390</v>
      </c>
      <c r="C27" s="626" t="s">
        <v>391</v>
      </c>
      <c r="D27" s="1152">
        <v>0.29599999999999999</v>
      </c>
      <c r="E27" s="811">
        <v>0.33400000000000002</v>
      </c>
      <c r="F27" s="811">
        <v>0.155</v>
      </c>
      <c r="G27" s="811">
        <v>0.11</v>
      </c>
      <c r="H27" s="811">
        <v>9.0999999999999998E-2</v>
      </c>
      <c r="I27" s="741"/>
      <c r="J27" s="741"/>
    </row>
    <row r="28" spans="2:21" ht="15">
      <c r="B28" s="661" t="s">
        <v>696</v>
      </c>
      <c r="C28" s="775" t="s">
        <v>697</v>
      </c>
      <c r="D28" s="1153">
        <v>30.366809</v>
      </c>
      <c r="E28" s="812">
        <v>32.948763</v>
      </c>
      <c r="F28" s="812">
        <v>32.323939000000003</v>
      </c>
      <c r="G28" s="812">
        <v>36.361294000000001</v>
      </c>
      <c r="H28" s="812">
        <v>33.050770999999997</v>
      </c>
      <c r="I28" s="741"/>
      <c r="J28" s="741"/>
    </row>
    <row r="29" spans="2:21" ht="15">
      <c r="B29" s="661" t="s">
        <v>698</v>
      </c>
      <c r="C29" s="775" t="s">
        <v>699</v>
      </c>
      <c r="D29" s="1115">
        <v>0</v>
      </c>
      <c r="E29" s="813">
        <v>0</v>
      </c>
      <c r="F29" s="813">
        <v>0</v>
      </c>
      <c r="G29" s="813">
        <v>0</v>
      </c>
      <c r="H29" s="813">
        <v>0</v>
      </c>
      <c r="I29" s="741"/>
      <c r="J29" s="741"/>
    </row>
    <row r="30" spans="2:21" ht="15">
      <c r="B30" s="661" t="s">
        <v>700</v>
      </c>
      <c r="C30" s="775" t="s">
        <v>699</v>
      </c>
      <c r="D30" s="1115">
        <v>0</v>
      </c>
      <c r="E30" s="813">
        <v>0</v>
      </c>
      <c r="F30" s="813">
        <v>0</v>
      </c>
      <c r="G30" s="813">
        <v>0</v>
      </c>
      <c r="H30" s="813">
        <v>0</v>
      </c>
      <c r="I30" s="741"/>
      <c r="J30" s="741"/>
    </row>
    <row r="31" spans="2:21" ht="15">
      <c r="B31" s="774" t="s">
        <v>701</v>
      </c>
      <c r="C31" s="775" t="s">
        <v>699</v>
      </c>
      <c r="D31" s="1115">
        <v>0</v>
      </c>
      <c r="E31" s="813">
        <v>0</v>
      </c>
      <c r="F31" s="813">
        <v>0</v>
      </c>
      <c r="G31" s="813">
        <v>0</v>
      </c>
      <c r="H31" s="814">
        <v>0</v>
      </c>
      <c r="I31" s="741"/>
      <c r="J31" s="741"/>
    </row>
    <row r="32" spans="2:21" ht="15">
      <c r="B32" s="661" t="s">
        <v>1013</v>
      </c>
      <c r="C32" s="775" t="s">
        <v>699</v>
      </c>
      <c r="D32" s="1115">
        <v>0</v>
      </c>
      <c r="E32" s="813" t="s">
        <v>673</v>
      </c>
      <c r="F32" s="813" t="s">
        <v>673</v>
      </c>
      <c r="G32" s="813" t="s">
        <v>673</v>
      </c>
      <c r="H32" s="813" t="s">
        <v>673</v>
      </c>
      <c r="I32" s="741"/>
      <c r="J32" s="741"/>
    </row>
    <row r="33" spans="2:11">
      <c r="E33" s="525"/>
      <c r="F33" s="525"/>
      <c r="G33" s="525"/>
      <c r="H33" s="525"/>
      <c r="I33" s="525"/>
      <c r="J33" s="525"/>
      <c r="K33" s="525"/>
    </row>
    <row r="35" spans="2:11" ht="40" customHeight="1">
      <c r="B35" s="1417" t="s">
        <v>702</v>
      </c>
      <c r="C35" s="1417"/>
      <c r="D35" s="1417"/>
    </row>
    <row r="36" spans="2:11">
      <c r="B36" s="1146" t="s">
        <v>234</v>
      </c>
      <c r="C36" s="1156" t="s">
        <v>703</v>
      </c>
    </row>
    <row r="37" spans="2:11" ht="15">
      <c r="B37" s="621" t="s">
        <v>704</v>
      </c>
      <c r="C37" s="1002">
        <v>0.95</v>
      </c>
    </row>
    <row r="38" spans="2:11" ht="15">
      <c r="B38" s="621" t="s">
        <v>705</v>
      </c>
      <c r="C38" s="1002">
        <v>0.77</v>
      </c>
    </row>
    <row r="39" spans="2:11" ht="15">
      <c r="B39" s="621" t="s">
        <v>139</v>
      </c>
      <c r="C39" s="1002">
        <v>0.86</v>
      </c>
    </row>
    <row r="40" spans="2:11" ht="15">
      <c r="B40" s="621" t="s">
        <v>706</v>
      </c>
      <c r="C40" s="1002">
        <v>0.82</v>
      </c>
    </row>
    <row r="41" spans="2:11" ht="15">
      <c r="B41" s="621" t="s">
        <v>707</v>
      </c>
      <c r="C41" s="1002">
        <v>0.82</v>
      </c>
    </row>
    <row r="42" spans="2:11" ht="15">
      <c r="B42" s="621" t="s">
        <v>708</v>
      </c>
      <c r="C42" s="1002">
        <v>0.77</v>
      </c>
    </row>
  </sheetData>
  <sheetProtection algorithmName="SHA-512" hashValue="LG6Y7MGP8hsLQjuDasag7apaLjgJdR3wzDpOYMVxHclc9kEzckOV/GwQr7vqACiPPUkhw7RY5BV0jR04L/qUzA==" saltValue="NYVyjIOJll+TSi1a9kd3lw==" spinCount="100000" sheet="1" objects="1" scenarios="1"/>
  <mergeCells count="11">
    <mergeCell ref="B35:D35"/>
    <mergeCell ref="C14:F14"/>
    <mergeCell ref="C15:F15"/>
    <mergeCell ref="C16:F16"/>
    <mergeCell ref="B2:J2"/>
    <mergeCell ref="D5:E5"/>
    <mergeCell ref="J5:K5"/>
    <mergeCell ref="F5:G5"/>
    <mergeCell ref="H5:I5"/>
    <mergeCell ref="B5:B6"/>
    <mergeCell ref="C5:C6"/>
  </mergeCells>
  <pageMargins left="0.70866141732283472" right="0.70866141732283472" top="0.74803149606299213" bottom="0.74803149606299213" header="0.31496062992125984" footer="0.31496062992125984"/>
  <pageSetup paperSize="9" scale="38"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DDC94-2ACC-4A81-A254-C7521705475F}">
  <sheetPr codeName="Sheet9">
    <tabColor theme="7"/>
    <pageSetUpPr fitToPage="1"/>
  </sheetPr>
  <dimension ref="A2:L35"/>
  <sheetViews>
    <sheetView zoomScale="80" zoomScaleNormal="80" workbookViewId="0"/>
  </sheetViews>
  <sheetFormatPr defaultColWidth="8.81640625" defaultRowHeight="13.5"/>
  <cols>
    <col min="1" max="1" width="3.6328125" style="2" customWidth="1"/>
    <col min="2" max="2" width="67.453125" style="2" customWidth="1"/>
    <col min="3" max="3" width="23.36328125" style="2" bestFit="1" customWidth="1"/>
    <col min="4" max="4" width="1.81640625" style="2" customWidth="1"/>
    <col min="5" max="5" width="63.81640625" style="2" customWidth="1"/>
    <col min="6" max="6" width="23.36328125" style="2" bestFit="1" customWidth="1"/>
    <col min="7" max="7" width="1.81640625" style="2" customWidth="1"/>
    <col min="8" max="8" width="63.1796875" style="2" customWidth="1"/>
    <col min="9" max="9" width="23.36328125" style="2" bestFit="1" customWidth="1"/>
    <col min="10" max="10" width="2.1796875" style="2" customWidth="1"/>
    <col min="11" max="11" width="64.1796875" style="2" customWidth="1"/>
    <col min="12" max="12" width="23.36328125" style="2" bestFit="1" customWidth="1"/>
    <col min="13" max="16384" width="8.81640625" style="2"/>
  </cols>
  <sheetData>
    <row r="2" spans="1:12" ht="49" customHeight="1">
      <c r="A2" s="528"/>
      <c r="B2" s="1419" t="s">
        <v>1168</v>
      </c>
      <c r="C2" s="1360"/>
      <c r="D2" s="1360"/>
      <c r="E2" s="1360"/>
      <c r="F2" s="1360"/>
      <c r="G2" s="8"/>
    </row>
    <row r="4" spans="1:12" ht="32" customHeight="1">
      <c r="B4" s="1425" t="s">
        <v>972</v>
      </c>
      <c r="C4" s="1425"/>
      <c r="D4" s="1425"/>
      <c r="E4" s="1425"/>
      <c r="F4" s="1425"/>
      <c r="G4" s="1425"/>
      <c r="H4" s="1425"/>
      <c r="I4" s="1425"/>
    </row>
    <row r="6" spans="1:12" ht="27.65" customHeight="1">
      <c r="B6" s="1423" t="s">
        <v>829</v>
      </c>
      <c r="C6" s="1423"/>
      <c r="D6" s="13"/>
      <c r="E6" s="1423" t="s">
        <v>830</v>
      </c>
      <c r="F6" s="1423"/>
      <c r="H6" s="1423" t="s">
        <v>831</v>
      </c>
      <c r="I6" s="1423"/>
      <c r="K6" s="1423" t="s">
        <v>832</v>
      </c>
      <c r="L6" s="1423"/>
    </row>
    <row r="7" spans="1:12" ht="15">
      <c r="B7" s="818" t="s">
        <v>833</v>
      </c>
      <c r="C7" s="819" t="s">
        <v>834</v>
      </c>
      <c r="E7" s="818" t="s">
        <v>835</v>
      </c>
      <c r="F7" s="819" t="s">
        <v>834</v>
      </c>
      <c r="H7" s="818" t="s">
        <v>835</v>
      </c>
      <c r="I7" s="819" t="s">
        <v>834</v>
      </c>
      <c r="K7" s="818" t="s">
        <v>835</v>
      </c>
      <c r="L7" s="819" t="s">
        <v>834</v>
      </c>
    </row>
    <row r="8" spans="1:12" ht="15">
      <c r="B8" s="820" t="s">
        <v>836</v>
      </c>
      <c r="C8" s="1158">
        <v>14</v>
      </c>
      <c r="E8" s="822" t="s">
        <v>836</v>
      </c>
      <c r="F8" s="821">
        <v>12</v>
      </c>
      <c r="H8" s="822" t="s">
        <v>836</v>
      </c>
      <c r="I8" s="821">
        <v>18</v>
      </c>
      <c r="K8" s="822" t="s">
        <v>836</v>
      </c>
      <c r="L8" s="821">
        <v>13</v>
      </c>
    </row>
    <row r="9" spans="1:12" ht="15">
      <c r="B9" s="820" t="s">
        <v>837</v>
      </c>
      <c r="C9" s="1158">
        <v>6</v>
      </c>
      <c r="E9" s="822" t="s">
        <v>838</v>
      </c>
      <c r="F9" s="821">
        <v>0</v>
      </c>
      <c r="H9" s="822" t="s">
        <v>838</v>
      </c>
      <c r="I9" s="821">
        <v>4</v>
      </c>
      <c r="K9" s="822" t="s">
        <v>838</v>
      </c>
      <c r="L9" s="821">
        <v>2</v>
      </c>
    </row>
    <row r="10" spans="1:12" ht="15">
      <c r="B10" s="820" t="s">
        <v>839</v>
      </c>
      <c r="C10" s="1158">
        <v>47</v>
      </c>
      <c r="E10" s="822" t="s">
        <v>840</v>
      </c>
      <c r="F10" s="821">
        <v>0</v>
      </c>
      <c r="H10" s="822" t="s">
        <v>840</v>
      </c>
      <c r="I10" s="821">
        <v>1</v>
      </c>
      <c r="K10" s="822" t="s">
        <v>841</v>
      </c>
      <c r="L10" s="821">
        <v>1</v>
      </c>
    </row>
    <row r="11" spans="1:12" ht="15">
      <c r="B11" s="820" t="s">
        <v>842</v>
      </c>
      <c r="C11" s="1158">
        <v>56</v>
      </c>
      <c r="E11" s="822" t="s">
        <v>843</v>
      </c>
      <c r="F11" s="821">
        <v>0</v>
      </c>
      <c r="H11" s="822" t="s">
        <v>843</v>
      </c>
      <c r="I11" s="821">
        <v>1</v>
      </c>
      <c r="K11" s="822" t="s">
        <v>843</v>
      </c>
      <c r="L11" s="821">
        <v>1</v>
      </c>
    </row>
    <row r="12" spans="1:12" ht="15">
      <c r="B12" s="820" t="s">
        <v>844</v>
      </c>
      <c r="C12" s="1158">
        <v>5</v>
      </c>
      <c r="E12" s="822" t="s">
        <v>837</v>
      </c>
      <c r="F12" s="821">
        <v>10</v>
      </c>
      <c r="H12" s="822" t="s">
        <v>837</v>
      </c>
      <c r="I12" s="821">
        <v>15</v>
      </c>
      <c r="K12" s="822" t="s">
        <v>837</v>
      </c>
      <c r="L12" s="821">
        <v>11</v>
      </c>
    </row>
    <row r="13" spans="1:12" ht="30">
      <c r="B13" s="820" t="s">
        <v>845</v>
      </c>
      <c r="C13" s="1158">
        <v>11</v>
      </c>
      <c r="E13" s="822" t="s">
        <v>839</v>
      </c>
      <c r="F13" s="821">
        <v>51</v>
      </c>
      <c r="H13" s="822" t="s">
        <v>839</v>
      </c>
      <c r="I13" s="821">
        <v>44</v>
      </c>
      <c r="K13" s="822" t="s">
        <v>846</v>
      </c>
      <c r="L13" s="821">
        <v>58</v>
      </c>
    </row>
    <row r="14" spans="1:12" ht="15">
      <c r="B14" s="820" t="s">
        <v>847</v>
      </c>
      <c r="C14" s="1158">
        <v>2</v>
      </c>
      <c r="E14" s="822" t="s">
        <v>842</v>
      </c>
      <c r="F14" s="821">
        <v>56</v>
      </c>
      <c r="H14" s="822" t="s">
        <v>842</v>
      </c>
      <c r="I14" s="821">
        <v>18</v>
      </c>
      <c r="K14" s="822" t="s">
        <v>842</v>
      </c>
      <c r="L14" s="821">
        <v>7</v>
      </c>
    </row>
    <row r="15" spans="1:12" ht="30">
      <c r="B15" s="820" t="s">
        <v>848</v>
      </c>
      <c r="C15" s="1158">
        <v>1</v>
      </c>
      <c r="E15" s="822" t="s">
        <v>844</v>
      </c>
      <c r="F15" s="821">
        <v>7</v>
      </c>
      <c r="H15" s="822" t="s">
        <v>844</v>
      </c>
      <c r="I15" s="821">
        <v>3</v>
      </c>
      <c r="K15" s="822" t="s">
        <v>849</v>
      </c>
      <c r="L15" s="821">
        <v>6</v>
      </c>
    </row>
    <row r="16" spans="1:12" ht="30">
      <c r="B16" s="820" t="s">
        <v>850</v>
      </c>
      <c r="C16" s="1158">
        <v>4</v>
      </c>
      <c r="E16" s="822" t="s">
        <v>845</v>
      </c>
      <c r="F16" s="821">
        <v>17</v>
      </c>
      <c r="H16" s="822" t="s">
        <v>845</v>
      </c>
      <c r="I16" s="821">
        <v>12</v>
      </c>
      <c r="K16" s="822" t="s">
        <v>845</v>
      </c>
      <c r="L16" s="821">
        <v>7</v>
      </c>
    </row>
    <row r="17" spans="1:12" ht="15">
      <c r="B17" s="820" t="s">
        <v>851</v>
      </c>
      <c r="C17" s="1158">
        <v>6</v>
      </c>
      <c r="E17" s="822" t="s">
        <v>852</v>
      </c>
      <c r="F17" s="821">
        <v>0</v>
      </c>
      <c r="H17" s="822" t="s">
        <v>852</v>
      </c>
      <c r="I17" s="821">
        <v>1</v>
      </c>
      <c r="K17" s="822" t="s">
        <v>853</v>
      </c>
      <c r="L17" s="821">
        <v>5</v>
      </c>
    </row>
    <row r="18" spans="1:12" ht="15">
      <c r="B18" s="822" t="s">
        <v>854</v>
      </c>
      <c r="C18" s="1158">
        <v>1</v>
      </c>
      <c r="E18" s="822" t="s">
        <v>855</v>
      </c>
      <c r="F18" s="821">
        <v>2</v>
      </c>
      <c r="H18" s="822" t="s">
        <v>855</v>
      </c>
      <c r="I18" s="821">
        <v>5</v>
      </c>
      <c r="K18" s="822" t="s">
        <v>855</v>
      </c>
      <c r="L18" s="821">
        <v>8</v>
      </c>
    </row>
    <row r="19" spans="1:12" ht="15">
      <c r="B19" s="823" t="s">
        <v>480</v>
      </c>
      <c r="C19" s="1159">
        <f>SUM(C8:C18)</f>
        <v>153</v>
      </c>
      <c r="E19" s="822" t="s">
        <v>856</v>
      </c>
      <c r="F19" s="821">
        <v>1</v>
      </c>
      <c r="H19" s="822" t="s">
        <v>856</v>
      </c>
      <c r="I19" s="821">
        <v>1</v>
      </c>
      <c r="K19" s="822" t="s">
        <v>857</v>
      </c>
      <c r="L19" s="821">
        <v>1</v>
      </c>
    </row>
    <row r="20" spans="1:12" ht="36.65" customHeight="1">
      <c r="B20" s="1426" t="s">
        <v>973</v>
      </c>
      <c r="C20" s="1426"/>
      <c r="E20" s="822" t="s">
        <v>858</v>
      </c>
      <c r="F20" s="821">
        <v>0</v>
      </c>
      <c r="H20" s="822" t="s">
        <v>858</v>
      </c>
      <c r="I20" s="821">
        <v>1</v>
      </c>
      <c r="K20" s="822" t="s">
        <v>854</v>
      </c>
      <c r="L20" s="821">
        <v>1</v>
      </c>
    </row>
    <row r="21" spans="1:12" ht="15">
      <c r="E21" s="822" t="s">
        <v>859</v>
      </c>
      <c r="F21" s="821">
        <v>0</v>
      </c>
      <c r="H21" s="822" t="s">
        <v>859</v>
      </c>
      <c r="I21" s="821">
        <v>5</v>
      </c>
      <c r="K21" s="822" t="s">
        <v>859</v>
      </c>
      <c r="L21" s="821">
        <v>2</v>
      </c>
    </row>
    <row r="22" spans="1:12" ht="15">
      <c r="B22" s="1424" t="s">
        <v>860</v>
      </c>
      <c r="C22" s="1424"/>
      <c r="E22" s="822" t="s">
        <v>841</v>
      </c>
      <c r="F22" s="821">
        <v>1</v>
      </c>
      <c r="H22" s="823" t="s">
        <v>480</v>
      </c>
      <c r="I22" s="824">
        <f>SUM(I8:I21)</f>
        <v>129</v>
      </c>
      <c r="K22" s="823" t="s">
        <v>480</v>
      </c>
      <c r="L22" s="824">
        <f>SUM(L8:L21)</f>
        <v>123</v>
      </c>
    </row>
    <row r="23" spans="1:12" ht="30">
      <c r="B23" s="818" t="s">
        <v>861</v>
      </c>
      <c r="C23" s="819" t="s">
        <v>834</v>
      </c>
      <c r="E23" s="822" t="s">
        <v>857</v>
      </c>
      <c r="F23" s="821">
        <v>1</v>
      </c>
    </row>
    <row r="24" spans="1:12" ht="15">
      <c r="B24" s="820" t="s">
        <v>862</v>
      </c>
      <c r="C24" s="1157">
        <v>4</v>
      </c>
      <c r="E24" s="823" t="s">
        <v>480</v>
      </c>
      <c r="F24" s="824">
        <f>SUM(F8:F23)</f>
        <v>158</v>
      </c>
    </row>
    <row r="25" spans="1:12" ht="15">
      <c r="B25" s="820" t="s">
        <v>863</v>
      </c>
      <c r="C25" s="1157">
        <v>3</v>
      </c>
    </row>
    <row r="26" spans="1:12" ht="15">
      <c r="B26" s="820" t="s">
        <v>864</v>
      </c>
      <c r="C26" s="1157">
        <v>21</v>
      </c>
    </row>
    <row r="27" spans="1:12" ht="15">
      <c r="B27" s="820" t="s">
        <v>865</v>
      </c>
      <c r="C27" s="1157">
        <v>34</v>
      </c>
      <c r="D27" s="72"/>
      <c r="F27" s="72"/>
      <c r="G27" s="72"/>
    </row>
    <row r="28" spans="1:12" ht="15">
      <c r="A28" s="12"/>
      <c r="B28" s="820" t="s">
        <v>866</v>
      </c>
      <c r="C28" s="1157">
        <v>28</v>
      </c>
    </row>
    <row r="29" spans="1:12" ht="15">
      <c r="B29" s="820" t="s">
        <v>867</v>
      </c>
      <c r="C29" s="1157">
        <v>16</v>
      </c>
    </row>
    <row r="30" spans="1:12" ht="15">
      <c r="B30" s="820" t="s">
        <v>868</v>
      </c>
      <c r="C30" s="1157">
        <v>21</v>
      </c>
    </row>
    <row r="31" spans="1:12" ht="15">
      <c r="B31" s="820" t="s">
        <v>869</v>
      </c>
      <c r="C31" s="1157">
        <v>6</v>
      </c>
    </row>
    <row r="34" spans="2:2">
      <c r="B34" s="12"/>
    </row>
    <row r="35" spans="2:2">
      <c r="B35" s="12"/>
    </row>
  </sheetData>
  <sheetProtection algorithmName="SHA-512" hashValue="Zhek0M3pRkwc2JnysGs9/0IkEeR/qPquTfeX7bPYDvYdJCn4Tu6l7lY1VQs6NmbPavkW3GTZ7XE73Qx38CInLg==" saltValue="zAj/OPr/boUmvadBe5uVrQ==" spinCount="100000" sheet="1" objects="1" scenarios="1"/>
  <mergeCells count="8">
    <mergeCell ref="K6:L6"/>
    <mergeCell ref="B6:C6"/>
    <mergeCell ref="B22:C22"/>
    <mergeCell ref="E6:F6"/>
    <mergeCell ref="B2:F2"/>
    <mergeCell ref="B4:I4"/>
    <mergeCell ref="H6:I6"/>
    <mergeCell ref="B20:C20"/>
  </mergeCells>
  <phoneticPr fontId="3" type="noConversion"/>
  <pageMargins left="0.70866141732283472" right="0.70866141732283472" top="0.74803149606299213" bottom="0.74803149606299213" header="0.31496062992125984" footer="0.31496062992125984"/>
  <pageSetup paperSize="9" scale="3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826BF-61C3-4740-836A-46B4BBA11D05}">
  <sheetPr codeName="Sheet7">
    <tabColor theme="7"/>
    <pageSetUpPr fitToPage="1"/>
  </sheetPr>
  <dimension ref="B2:J28"/>
  <sheetViews>
    <sheetView zoomScale="80" zoomScaleNormal="80" workbookViewId="0"/>
  </sheetViews>
  <sheetFormatPr defaultColWidth="8.81640625" defaultRowHeight="13.5"/>
  <cols>
    <col min="1" max="1" width="2.6328125" style="2" customWidth="1"/>
    <col min="2" max="2" width="40.81640625" style="2" customWidth="1"/>
    <col min="3" max="3" width="38.6328125" style="2" customWidth="1"/>
    <col min="4" max="4" width="26.81640625" style="2" customWidth="1"/>
    <col min="5" max="5" width="13" style="2" customWidth="1"/>
    <col min="6" max="7" width="13.1796875" style="2" customWidth="1"/>
    <col min="8" max="8" width="12.453125" style="2" customWidth="1"/>
    <col min="9" max="9" width="11.81640625" style="2" customWidth="1"/>
    <col min="10" max="10" width="29.1796875" style="2" customWidth="1"/>
    <col min="11" max="16384" width="8.81640625" style="2"/>
  </cols>
  <sheetData>
    <row r="2" spans="2:10" ht="50.15" customHeight="1">
      <c r="B2" s="1427" t="s">
        <v>1169</v>
      </c>
      <c r="C2" s="1428"/>
      <c r="D2" s="1428"/>
      <c r="E2" s="1428"/>
      <c r="F2" s="1428"/>
      <c r="G2" s="1428"/>
      <c r="H2" s="1428"/>
    </row>
    <row r="3" spans="2:10" ht="23">
      <c r="B3" s="71"/>
    </row>
    <row r="4" spans="2:10" ht="13.5" customHeight="1">
      <c r="B4" s="1429" t="s">
        <v>870</v>
      </c>
      <c r="C4" s="1429"/>
      <c r="D4" s="1429"/>
      <c r="E4" s="1429"/>
      <c r="F4" s="1429"/>
      <c r="G4" s="1429"/>
      <c r="H4" s="1429"/>
      <c r="I4" s="1429"/>
      <c r="J4" s="707"/>
    </row>
    <row r="5" spans="2:10">
      <c r="B5" s="677"/>
      <c r="C5" s="677"/>
      <c r="D5" s="677"/>
      <c r="E5" s="677"/>
      <c r="F5" s="677"/>
      <c r="G5" s="677"/>
      <c r="H5" s="677"/>
      <c r="I5" s="677"/>
      <c r="J5" s="677"/>
    </row>
    <row r="6" spans="2:10" ht="13.5" customHeight="1">
      <c r="B6" s="1160" t="s">
        <v>871</v>
      </c>
      <c r="C6" s="1161" t="s">
        <v>872</v>
      </c>
      <c r="D6" s="1162" t="s">
        <v>1161</v>
      </c>
      <c r="E6" s="1102" t="s">
        <v>427</v>
      </c>
      <c r="F6" s="1102" t="s">
        <v>412</v>
      </c>
      <c r="G6" s="1102" t="s">
        <v>406</v>
      </c>
      <c r="H6" s="1102" t="s">
        <v>409</v>
      </c>
      <c r="I6" s="1163" t="s">
        <v>873</v>
      </c>
    </row>
    <row r="7" spans="2:10" ht="15">
      <c r="B7" s="988" t="s">
        <v>874</v>
      </c>
      <c r="C7" s="984" t="s">
        <v>875</v>
      </c>
      <c r="D7" s="981" t="s">
        <v>876</v>
      </c>
      <c r="E7" s="990">
        <v>594</v>
      </c>
      <c r="F7" s="995">
        <v>168</v>
      </c>
      <c r="G7" s="999">
        <v>1374</v>
      </c>
      <c r="H7" s="987">
        <v>940</v>
      </c>
      <c r="I7" s="980">
        <f>(E7-F7)/F7</f>
        <v>2.5357142857142856</v>
      </c>
    </row>
    <row r="8" spans="2:10" ht="15">
      <c r="B8" s="988" t="s">
        <v>877</v>
      </c>
      <c r="C8" s="984" t="s">
        <v>878</v>
      </c>
      <c r="D8" s="981" t="s">
        <v>876</v>
      </c>
      <c r="E8" s="991">
        <v>479</v>
      </c>
      <c r="F8" s="817">
        <v>283</v>
      </c>
      <c r="G8" s="817">
        <v>98</v>
      </c>
      <c r="H8" s="817">
        <v>573</v>
      </c>
      <c r="I8" s="980">
        <f t="shared" ref="I8:I11" si="0">(E8-F8)/F8</f>
        <v>0.69257950530035339</v>
      </c>
    </row>
    <row r="9" spans="2:10" ht="15">
      <c r="B9" s="825" t="s">
        <v>480</v>
      </c>
      <c r="C9" s="985"/>
      <c r="D9" s="982" t="s">
        <v>876</v>
      </c>
      <c r="E9" s="992">
        <f>SUM(E7:E8)</f>
        <v>1073</v>
      </c>
      <c r="F9" s="996">
        <f>SUM(F7:F8)</f>
        <v>451</v>
      </c>
      <c r="G9" s="996">
        <f>SUM(G7:G8)</f>
        <v>1472</v>
      </c>
      <c r="H9" s="996">
        <f>SUM(H7:H8)</f>
        <v>1513</v>
      </c>
      <c r="I9" s="1002">
        <f t="shared" si="0"/>
        <v>1.3791574279379157</v>
      </c>
    </row>
    <row r="10" spans="2:10" ht="15">
      <c r="B10" s="826"/>
      <c r="C10" s="986"/>
      <c r="D10" s="983"/>
      <c r="E10" s="993"/>
      <c r="F10" s="997"/>
      <c r="G10" s="997"/>
      <c r="H10" s="1000"/>
      <c r="I10" s="827"/>
    </row>
    <row r="11" spans="2:10" ht="15">
      <c r="B11" s="989" t="s">
        <v>879</v>
      </c>
      <c r="C11" s="984" t="s">
        <v>880</v>
      </c>
      <c r="D11" s="828" t="s">
        <v>881</v>
      </c>
      <c r="E11" s="994">
        <v>2063</v>
      </c>
      <c r="F11" s="998">
        <v>1322</v>
      </c>
      <c r="G11" s="817">
        <v>431</v>
      </c>
      <c r="H11" s="1001">
        <v>2682</v>
      </c>
      <c r="I11" s="829">
        <f t="shared" si="0"/>
        <v>0.56051437216338884</v>
      </c>
    </row>
    <row r="12" spans="2:10">
      <c r="E12" s="104"/>
      <c r="F12" s="104"/>
      <c r="G12" s="104"/>
      <c r="H12" s="104"/>
    </row>
    <row r="13" spans="2:10">
      <c r="E13" s="332"/>
      <c r="F13" s="332"/>
      <c r="G13" s="332"/>
      <c r="H13" s="332"/>
    </row>
    <row r="21" spans="3:8">
      <c r="F21" s="332"/>
      <c r="G21" s="332"/>
    </row>
    <row r="22" spans="3:8">
      <c r="F22" s="332"/>
      <c r="G22" s="332"/>
      <c r="H22" s="333"/>
    </row>
    <row r="25" spans="3:8">
      <c r="C25" s="78"/>
      <c r="D25" s="78"/>
      <c r="E25" s="78"/>
    </row>
    <row r="28" spans="3:8">
      <c r="C28" s="78"/>
      <c r="D28" s="78"/>
      <c r="E28" s="78"/>
    </row>
  </sheetData>
  <sheetProtection algorithmName="SHA-512" hashValue="0pWbtGTAHLZzIPhVoeMy61yYlaW1VBEHGHH3mJsqEbM+FhEwk1wQTtFLfI4XQoJmVHWvlV70Cx4SdWw3NBxWWw==" saltValue="9eS45YNZqyOhuPk+B7u0hA==" spinCount="100000" sheet="1" objects="1" scenarios="1"/>
  <mergeCells count="2">
    <mergeCell ref="B2:H2"/>
    <mergeCell ref="B4:I4"/>
  </mergeCells>
  <phoneticPr fontId="3" type="noConversion"/>
  <pageMargins left="0.70866141732283472" right="0.70866141732283472" top="0.74803149606299213" bottom="0.74803149606299213" header="0.31496062992125984" footer="0.31496062992125984"/>
  <pageSetup paperSize="9" scale="77" orientation="landscape" r:id="rId1"/>
  <rowBreaks count="1" manualBreakCount="1">
    <brk id="22" max="16383" man="1"/>
  </rowBreaks>
  <colBreaks count="1" manualBreakCount="1">
    <brk id="9"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E4A38-7AA2-40C9-98C2-472AF4F23C3F}">
  <sheetPr>
    <tabColor theme="7"/>
    <pageSetUpPr fitToPage="1"/>
  </sheetPr>
  <dimension ref="B2:J27"/>
  <sheetViews>
    <sheetView zoomScale="80" zoomScaleNormal="80" workbookViewId="0">
      <selection activeCell="B5" sqref="B5"/>
    </sheetView>
  </sheetViews>
  <sheetFormatPr defaultColWidth="8.81640625" defaultRowHeight="13.5"/>
  <cols>
    <col min="1" max="1" width="2.453125" style="2" customWidth="1"/>
    <col min="2" max="2" width="52" style="2" customWidth="1"/>
    <col min="3" max="3" width="16.90625" style="2" customWidth="1"/>
    <col min="4" max="4" width="17" style="2" customWidth="1"/>
    <col min="5" max="5" width="19.453125" style="2" customWidth="1"/>
    <col min="6" max="16384" width="8.81640625" style="2"/>
  </cols>
  <sheetData>
    <row r="2" spans="2:10" ht="72" customHeight="1">
      <c r="B2" s="1419" t="s">
        <v>1170</v>
      </c>
      <c r="C2" s="1360"/>
      <c r="D2" s="1360"/>
      <c r="E2" s="1360"/>
      <c r="F2" s="1360"/>
      <c r="G2" s="1360"/>
      <c r="H2" s="1360"/>
      <c r="I2" s="1360"/>
      <c r="J2" s="1360"/>
    </row>
    <row r="3" spans="2:10" ht="13" customHeight="1"/>
    <row r="4" spans="2:10" ht="45.5" customHeight="1">
      <c r="B4" s="1430" t="s">
        <v>1181</v>
      </c>
      <c r="C4" s="1430"/>
      <c r="D4" s="1430"/>
      <c r="E4" s="1430"/>
      <c r="F4" s="1430"/>
      <c r="G4" s="1430"/>
      <c r="H4" s="1430"/>
      <c r="I4" s="1430"/>
      <c r="J4" s="1430"/>
    </row>
    <row r="5" spans="2:10" ht="14.5">
      <c r="B5" s="96" t="s">
        <v>882</v>
      </c>
    </row>
    <row r="7" spans="2:10" ht="14">
      <c r="B7" s="518" t="s">
        <v>883</v>
      </c>
    </row>
    <row r="8" spans="2:10" ht="14">
      <c r="B8" s="529" t="s">
        <v>884</v>
      </c>
    </row>
    <row r="9" spans="2:10" ht="14">
      <c r="B9" s="529" t="s">
        <v>885</v>
      </c>
    </row>
    <row r="10" spans="2:10" ht="14">
      <c r="B10" s="3"/>
    </row>
    <row r="11" spans="2:10" ht="14">
      <c r="B11" s="518" t="s">
        <v>886</v>
      </c>
    </row>
    <row r="12" spans="2:10" ht="14">
      <c r="B12" s="529" t="s">
        <v>887</v>
      </c>
    </row>
    <row r="13" spans="2:10" ht="14">
      <c r="B13" s="529" t="s">
        <v>888</v>
      </c>
    </row>
    <row r="16" spans="2:10" ht="66.650000000000006" customHeight="1">
      <c r="B16" s="1160" t="s">
        <v>1017</v>
      </c>
      <c r="C16" s="1102" t="s">
        <v>1018</v>
      </c>
      <c r="D16" s="1102" t="s">
        <v>1019</v>
      </c>
    </row>
    <row r="17" spans="2:4" ht="15">
      <c r="B17" s="773" t="s">
        <v>1020</v>
      </c>
      <c r="C17" s="1164">
        <v>0.38</v>
      </c>
      <c r="D17" s="1003">
        <v>0.25</v>
      </c>
    </row>
    <row r="18" spans="2:4" ht="45">
      <c r="B18" s="828" t="s">
        <v>1021</v>
      </c>
      <c r="C18" s="1164">
        <v>0.03</v>
      </c>
      <c r="D18" s="1004">
        <v>1.4999999999999999E-2</v>
      </c>
    </row>
    <row r="19" spans="2:4" ht="30">
      <c r="B19" s="828" t="s">
        <v>1022</v>
      </c>
      <c r="C19" s="1164">
        <v>7.0000000000000007E-2</v>
      </c>
      <c r="D19" s="1004">
        <v>2E-3</v>
      </c>
    </row>
    <row r="20" spans="2:4" ht="45">
      <c r="B20" s="828" t="s">
        <v>1023</v>
      </c>
      <c r="C20" s="1164">
        <v>0.52</v>
      </c>
      <c r="D20" s="1003">
        <v>0.73</v>
      </c>
    </row>
    <row r="21" spans="2:4" ht="15">
      <c r="B21" s="827"/>
      <c r="C21" s="1005"/>
      <c r="D21" s="1005"/>
    </row>
    <row r="22" spans="2:4" ht="67.5">
      <c r="B22" s="1161" t="s">
        <v>1026</v>
      </c>
      <c r="C22" s="1102" t="s">
        <v>1024</v>
      </c>
      <c r="D22" s="1102" t="s">
        <v>1025</v>
      </c>
    </row>
    <row r="23" spans="2:4" ht="15">
      <c r="B23" s="773" t="s">
        <v>883</v>
      </c>
      <c r="C23" s="1165">
        <v>14</v>
      </c>
      <c r="D23" s="1006">
        <v>6</v>
      </c>
    </row>
    <row r="24" spans="2:4" ht="15">
      <c r="B24" s="828" t="s">
        <v>1027</v>
      </c>
      <c r="C24" s="1165">
        <v>14</v>
      </c>
      <c r="D24" s="1006">
        <v>6</v>
      </c>
    </row>
    <row r="25" spans="2:4" ht="15">
      <c r="B25" s="828" t="s">
        <v>1028</v>
      </c>
      <c r="C25" s="1165">
        <v>13</v>
      </c>
      <c r="D25" s="1006">
        <v>11</v>
      </c>
    </row>
    <row r="26" spans="2:4" ht="15">
      <c r="B26" s="828" t="s">
        <v>1029</v>
      </c>
      <c r="C26" s="1165">
        <v>6</v>
      </c>
      <c r="D26" s="1006">
        <v>0.73</v>
      </c>
    </row>
    <row r="27" spans="2:4" ht="15">
      <c r="B27" s="828" t="s">
        <v>1030</v>
      </c>
      <c r="C27" s="1165">
        <v>0</v>
      </c>
      <c r="D27" s="1006">
        <v>0</v>
      </c>
    </row>
  </sheetData>
  <sheetProtection algorithmName="SHA-512" hashValue="ISosaqMPXHVIs0HGJTzYHlGZIDSzAr6/HvdfPmtrAyhHwAKXnbSE//lCOA2H7do68+6B3IxpU1c3lzwkoMMGTQ==" saltValue="xoDSdN++BJZgvw5pkv8wdg==" spinCount="100000" sheet="1" objects="1" scenarios="1"/>
  <mergeCells count="2">
    <mergeCell ref="B2:J2"/>
    <mergeCell ref="B4:J4"/>
  </mergeCells>
  <phoneticPr fontId="3" type="noConversion"/>
  <hyperlinks>
    <hyperlink ref="B5" r:id="rId1" xr:uid="{83969072-E206-4881-B79A-8C2A4C3ED546}"/>
  </hyperlinks>
  <pageMargins left="0.70866141732283472" right="0.70866141732283472" top="0.74803149606299213" bottom="0.74803149606299213" header="0.31496062992125984" footer="0.31496062992125984"/>
  <pageSetup paperSize="9" scale="70" orientation="landscape" r:id="rId2"/>
  <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CB229-B1F2-4BB1-82DB-D4595D3174BB}">
  <sheetPr codeName="Sheet10">
    <pageSetUpPr fitToPage="1"/>
  </sheetPr>
  <dimension ref="A2:Y148"/>
  <sheetViews>
    <sheetView topLeftCell="A83" zoomScale="80" zoomScaleNormal="80" workbookViewId="0">
      <selection activeCell="I87" sqref="I87"/>
    </sheetView>
  </sheetViews>
  <sheetFormatPr defaultColWidth="8.81640625" defaultRowHeight="13.5" outlineLevelCol="1"/>
  <cols>
    <col min="1" max="1" width="21.1796875" style="64" customWidth="1"/>
    <col min="2" max="2" width="89.1796875" style="64" customWidth="1"/>
    <col min="3" max="3" width="124.1796875" style="98" hidden="1" customWidth="1" outlineLevel="1"/>
    <col min="4" max="4" width="30.1796875" style="64" customWidth="1" collapsed="1"/>
    <col min="5" max="5" width="18" style="64" customWidth="1"/>
    <col min="6" max="17" width="18.90625" style="64" customWidth="1"/>
    <col min="18" max="18" width="18.81640625" style="64" customWidth="1"/>
    <col min="19" max="16384" width="8.81640625" style="64"/>
  </cols>
  <sheetData>
    <row r="2" spans="1:24" ht="35" customHeight="1">
      <c r="A2" s="364"/>
      <c r="B2" s="1431" t="s">
        <v>421</v>
      </c>
      <c r="C2" s="1431"/>
      <c r="D2" s="1431"/>
      <c r="E2" s="1431"/>
      <c r="F2" s="1431"/>
      <c r="G2" s="1431"/>
      <c r="H2" s="1431"/>
      <c r="I2" s="1431"/>
      <c r="J2" s="1431"/>
      <c r="K2" s="1431"/>
      <c r="L2" s="1431"/>
      <c r="M2" s="1431"/>
      <c r="N2" s="1431"/>
      <c r="O2" s="8"/>
      <c r="P2" s="107"/>
      <c r="Q2" s="107"/>
      <c r="R2" s="107"/>
      <c r="S2" s="107"/>
      <c r="T2" s="107"/>
      <c r="U2" s="108"/>
      <c r="V2" s="108"/>
      <c r="W2" s="108"/>
      <c r="X2" s="108"/>
    </row>
    <row r="3" spans="1:24" ht="19.5">
      <c r="B3" s="109"/>
      <c r="C3" s="110"/>
      <c r="D3" s="109"/>
      <c r="E3" s="109"/>
      <c r="F3" s="109"/>
      <c r="G3" s="111"/>
      <c r="H3" s="111"/>
      <c r="I3" s="111"/>
      <c r="J3" s="111"/>
      <c r="K3" s="111"/>
      <c r="L3" s="111"/>
      <c r="M3" s="111"/>
      <c r="N3" s="111"/>
      <c r="O3" s="111"/>
      <c r="P3" s="111"/>
      <c r="Q3" s="111"/>
      <c r="R3" s="111"/>
      <c r="S3" s="111"/>
      <c r="T3" s="111"/>
      <c r="U3" s="108"/>
      <c r="V3" s="108"/>
      <c r="W3" s="108"/>
      <c r="X3" s="108"/>
    </row>
    <row r="4" spans="1:24" ht="73.5" customHeight="1">
      <c r="B4" s="1432" t="s">
        <v>1009</v>
      </c>
      <c r="C4" s="1433"/>
      <c r="D4" s="1433"/>
      <c r="E4" s="1433"/>
      <c r="F4" s="1433"/>
      <c r="G4" s="1433"/>
      <c r="H4" s="1433"/>
      <c r="I4" s="1433"/>
      <c r="J4" s="1433"/>
      <c r="K4" s="1433"/>
      <c r="L4" s="1433"/>
      <c r="M4" s="108"/>
      <c r="N4" s="363"/>
      <c r="O4" s="108"/>
      <c r="P4" s="108"/>
      <c r="Q4" s="108"/>
      <c r="R4" s="108"/>
      <c r="S4" s="108"/>
      <c r="T4" s="108"/>
      <c r="U4" s="108"/>
      <c r="V4" s="108"/>
      <c r="W4" s="108"/>
      <c r="X4" s="108"/>
    </row>
    <row r="5" spans="1:24">
      <c r="B5" s="23"/>
      <c r="C5" s="105"/>
      <c r="D5" s="23"/>
      <c r="E5" s="23"/>
      <c r="F5" s="23"/>
      <c r="G5" s="24"/>
      <c r="H5" s="24"/>
      <c r="I5" s="24"/>
      <c r="J5" s="108"/>
      <c r="K5" s="108"/>
      <c r="L5" s="108"/>
      <c r="M5" s="108"/>
      <c r="N5" s="108"/>
      <c r="O5" s="108"/>
      <c r="P5" s="112"/>
      <c r="Q5" s="108"/>
      <c r="R5" s="108"/>
      <c r="S5" s="108"/>
      <c r="T5" s="108"/>
      <c r="U5" s="108"/>
      <c r="V5" s="108"/>
      <c r="W5" s="108"/>
      <c r="X5" s="108"/>
    </row>
    <row r="6" spans="1:24" ht="24.5">
      <c r="B6" s="113" t="s">
        <v>423</v>
      </c>
      <c r="C6" s="114"/>
      <c r="D6" s="115"/>
      <c r="E6" s="115"/>
      <c r="F6" s="115"/>
      <c r="G6" s="1357"/>
      <c r="H6" s="1357"/>
      <c r="I6" s="1357"/>
      <c r="J6" s="116"/>
      <c r="K6" s="116"/>
      <c r="L6" s="116"/>
      <c r="M6" s="116"/>
      <c r="N6" s="116"/>
      <c r="O6" s="116"/>
      <c r="P6" s="116"/>
      <c r="Q6" s="116"/>
      <c r="R6" s="108"/>
      <c r="S6" s="108"/>
      <c r="T6" s="108"/>
      <c r="U6" s="108"/>
      <c r="V6" s="108"/>
      <c r="W6" s="108"/>
      <c r="X6" s="108"/>
    </row>
    <row r="7" spans="1:24">
      <c r="C7" s="117"/>
      <c r="D7" s="118"/>
      <c r="E7" s="118"/>
      <c r="F7" s="118"/>
      <c r="G7" s="119"/>
      <c r="H7" s="119"/>
      <c r="I7" s="119"/>
      <c r="J7" s="119"/>
      <c r="K7" s="119"/>
      <c r="L7" s="119"/>
      <c r="M7" s="120"/>
      <c r="N7" s="120"/>
      <c r="O7" s="120"/>
      <c r="P7" s="120"/>
      <c r="Q7" s="120"/>
      <c r="R7" s="120"/>
      <c r="S7" s="120"/>
      <c r="T7" s="120"/>
      <c r="U7" s="120"/>
      <c r="V7" s="120"/>
      <c r="W7" s="120"/>
      <c r="X7" s="120"/>
    </row>
    <row r="8" spans="1:24" ht="36">
      <c r="B8" s="1361" t="s">
        <v>424</v>
      </c>
      <c r="C8" s="1362" t="s">
        <v>425</v>
      </c>
      <c r="D8" s="1363" t="s">
        <v>426</v>
      </c>
      <c r="E8" s="1373" t="s">
        <v>427</v>
      </c>
      <c r="F8" s="1373"/>
      <c r="G8" s="1373"/>
      <c r="H8" s="1358" t="s">
        <v>412</v>
      </c>
      <c r="I8" s="1358"/>
      <c r="J8" s="1358"/>
      <c r="K8" s="1358" t="s">
        <v>406</v>
      </c>
      <c r="L8" s="1358"/>
      <c r="M8" s="1358"/>
      <c r="N8" s="233" t="s">
        <v>409</v>
      </c>
      <c r="O8" s="286" t="s">
        <v>620</v>
      </c>
      <c r="P8" s="286" t="s">
        <v>621</v>
      </c>
      <c r="Q8" s="286" t="s">
        <v>622</v>
      </c>
      <c r="R8" s="108"/>
      <c r="S8" s="108"/>
      <c r="T8" s="108"/>
      <c r="U8" s="108"/>
      <c r="V8" s="108"/>
      <c r="W8" s="108"/>
      <c r="X8" s="108"/>
    </row>
    <row r="9" spans="1:24" ht="27">
      <c r="B9" s="1361"/>
      <c r="C9" s="1362"/>
      <c r="D9" s="1364"/>
      <c r="E9" s="232" t="s">
        <v>428</v>
      </c>
      <c r="F9" s="232" t="s">
        <v>429</v>
      </c>
      <c r="G9" s="232" t="s">
        <v>430</v>
      </c>
      <c r="H9" s="233" t="s">
        <v>428</v>
      </c>
      <c r="I9" s="233" t="s">
        <v>429</v>
      </c>
      <c r="J9" s="234" t="s">
        <v>430</v>
      </c>
      <c r="K9" s="233" t="s">
        <v>428</v>
      </c>
      <c r="L9" s="233" t="s">
        <v>429</v>
      </c>
      <c r="M9" s="234" t="s">
        <v>430</v>
      </c>
      <c r="N9" s="233" t="s">
        <v>428</v>
      </c>
      <c r="O9" s="287" t="s">
        <v>428</v>
      </c>
      <c r="P9" s="287" t="s">
        <v>428</v>
      </c>
      <c r="Q9" s="287" t="s">
        <v>428</v>
      </c>
      <c r="R9" s="108"/>
      <c r="S9" s="108"/>
      <c r="T9" s="108"/>
      <c r="U9" s="108"/>
      <c r="V9" s="108"/>
      <c r="W9" s="108"/>
      <c r="X9" s="108"/>
    </row>
    <row r="10" spans="1:24" ht="17.5" customHeight="1">
      <c r="B10" s="203" t="s">
        <v>351</v>
      </c>
      <c r="C10" s="156" t="s">
        <v>431</v>
      </c>
      <c r="D10" s="156" t="s">
        <v>432</v>
      </c>
      <c r="E10" s="244">
        <v>233300</v>
      </c>
      <c r="F10" s="244">
        <v>100461</v>
      </c>
      <c r="G10" s="244">
        <f>E10-F10</f>
        <v>132839</v>
      </c>
      <c r="H10" s="157">
        <v>239862</v>
      </c>
      <c r="I10" s="157">
        <v>103534</v>
      </c>
      <c r="J10" s="157">
        <f>H10-I10</f>
        <v>136328</v>
      </c>
      <c r="K10" s="157">
        <v>240473</v>
      </c>
      <c r="L10" s="157">
        <v>112915</v>
      </c>
      <c r="M10" s="157">
        <f>K10-L10</f>
        <v>127558</v>
      </c>
      <c r="N10" s="157">
        <v>238069</v>
      </c>
      <c r="O10" s="282">
        <f t="shared" ref="O10:O14" si="0">(E10-H10)/H10</f>
        <v>-2.7357397170039439E-2</v>
      </c>
      <c r="P10" s="282">
        <f>(E10-N10)/N10</f>
        <v>-2.0032007527229501E-2</v>
      </c>
      <c r="Q10" s="284"/>
      <c r="R10" s="108"/>
      <c r="S10" s="108"/>
      <c r="T10" s="108"/>
      <c r="U10" s="108"/>
      <c r="V10" s="108"/>
      <c r="W10" s="108"/>
      <c r="X10" s="108"/>
    </row>
    <row r="11" spans="1:24" ht="17.5" customHeight="1">
      <c r="B11" s="203" t="s">
        <v>352</v>
      </c>
      <c r="C11" s="156" t="s">
        <v>433</v>
      </c>
      <c r="D11" s="156" t="s">
        <v>432</v>
      </c>
      <c r="E11" s="244">
        <v>130386</v>
      </c>
      <c r="F11" s="244">
        <v>1024</v>
      </c>
      <c r="G11" s="244">
        <f>E11-F11</f>
        <v>129362</v>
      </c>
      <c r="H11" s="157">
        <v>170248</v>
      </c>
      <c r="I11" s="157">
        <v>1265</v>
      </c>
      <c r="J11" s="157">
        <f>H11-I11</f>
        <v>168983</v>
      </c>
      <c r="K11" s="157">
        <v>169111</v>
      </c>
      <c r="L11" s="157">
        <v>3969</v>
      </c>
      <c r="M11" s="157">
        <f>K11-L11</f>
        <v>165142</v>
      </c>
      <c r="N11" s="157">
        <v>179749</v>
      </c>
      <c r="O11" s="282">
        <f t="shared" si="0"/>
        <v>-0.2341407828579484</v>
      </c>
      <c r="P11" s="282">
        <f t="shared" ref="P11" si="1">(E11-N11)/N11</f>
        <v>-0.27462183377932564</v>
      </c>
      <c r="Q11" s="284"/>
      <c r="R11" s="108"/>
      <c r="S11" s="108"/>
      <c r="T11" s="108"/>
      <c r="U11" s="108"/>
      <c r="V11" s="108"/>
      <c r="W11" s="108"/>
      <c r="X11" s="108"/>
    </row>
    <row r="12" spans="1:24" ht="17.5" customHeight="1">
      <c r="B12" s="203" t="s">
        <v>353</v>
      </c>
      <c r="C12" s="156" t="s">
        <v>434</v>
      </c>
      <c r="D12" s="156" t="s">
        <v>432</v>
      </c>
      <c r="E12" s="244">
        <v>204848</v>
      </c>
      <c r="F12" s="244">
        <v>21696</v>
      </c>
      <c r="G12" s="244">
        <f>E12-F12</f>
        <v>183152</v>
      </c>
      <c r="H12" s="157">
        <v>225712</v>
      </c>
      <c r="I12" s="157">
        <v>24942</v>
      </c>
      <c r="J12" s="157">
        <f>H12-I12</f>
        <v>200770</v>
      </c>
      <c r="K12" s="157">
        <v>209158</v>
      </c>
      <c r="L12" s="157">
        <v>29743</v>
      </c>
      <c r="M12" s="157">
        <f>K12-L12</f>
        <v>179415</v>
      </c>
      <c r="N12" s="157">
        <v>231360</v>
      </c>
      <c r="O12" s="282">
        <f t="shared" si="0"/>
        <v>-9.2436379102573185E-2</v>
      </c>
      <c r="P12" s="282">
        <f>(E12-N12)/N12</f>
        <v>-0.11459197786998616</v>
      </c>
      <c r="Q12" s="284"/>
      <c r="R12" s="108"/>
      <c r="S12" s="108"/>
      <c r="T12" s="108"/>
      <c r="U12" s="108"/>
      <c r="V12" s="108"/>
      <c r="W12" s="108"/>
      <c r="X12" s="108"/>
    </row>
    <row r="13" spans="1:24" ht="17.5" customHeight="1">
      <c r="B13" s="181" t="s">
        <v>435</v>
      </c>
      <c r="C13" s="159" t="s">
        <v>623</v>
      </c>
      <c r="D13" s="159" t="s">
        <v>437</v>
      </c>
      <c r="E13" s="244">
        <v>363686</v>
      </c>
      <c r="F13" s="244">
        <v>101485</v>
      </c>
      <c r="G13" s="244">
        <f>E13-F13</f>
        <v>262201</v>
      </c>
      <c r="H13" s="241">
        <v>410110</v>
      </c>
      <c r="I13" s="241">
        <f>I10+I11</f>
        <v>104799</v>
      </c>
      <c r="J13" s="241">
        <f>H13-I13</f>
        <v>305311</v>
      </c>
      <c r="K13" s="241">
        <v>409584</v>
      </c>
      <c r="L13" s="241">
        <v>116884</v>
      </c>
      <c r="M13" s="241">
        <f>K13-L13</f>
        <v>292700</v>
      </c>
      <c r="N13" s="241">
        <v>417818</v>
      </c>
      <c r="O13" s="387">
        <f>(E13-H13)/H13</f>
        <v>-0.1131988978566726</v>
      </c>
      <c r="P13" s="387">
        <f>(E13-N13)/N13</f>
        <v>-0.12955880311523199</v>
      </c>
      <c r="Q13" s="387">
        <f>(E13-N13)/(N13*(1-0.42)-N13)</f>
        <v>0.30847334075055244</v>
      </c>
      <c r="R13" s="108"/>
      <c r="S13" s="108"/>
      <c r="T13" s="108"/>
      <c r="U13" s="108"/>
      <c r="V13" s="108"/>
      <c r="W13" s="108"/>
      <c r="X13" s="108"/>
    </row>
    <row r="14" spans="1:24" ht="17.5" customHeight="1">
      <c r="B14" s="203" t="s">
        <v>438</v>
      </c>
      <c r="C14" s="156" t="s">
        <v>624</v>
      </c>
      <c r="D14" s="156" t="s">
        <v>432</v>
      </c>
      <c r="E14" s="244">
        <v>438148</v>
      </c>
      <c r="F14" s="244">
        <v>122157</v>
      </c>
      <c r="G14" s="244">
        <f>E14-F14</f>
        <v>315991</v>
      </c>
      <c r="H14" s="157">
        <v>465574</v>
      </c>
      <c r="I14" s="157">
        <v>128475</v>
      </c>
      <c r="J14" s="157">
        <f>H14-I14</f>
        <v>337099</v>
      </c>
      <c r="K14" s="157">
        <v>449631</v>
      </c>
      <c r="L14" s="157">
        <v>142659</v>
      </c>
      <c r="M14" s="157">
        <f>K14-L14</f>
        <v>306972</v>
      </c>
      <c r="N14" s="157">
        <v>469429</v>
      </c>
      <c r="O14" s="282">
        <f t="shared" si="0"/>
        <v>-5.8907928707359086E-2</v>
      </c>
      <c r="P14" s="282">
        <f>(E14-N14)/N14</f>
        <v>-6.6636275134258849E-2</v>
      </c>
      <c r="Q14" s="284"/>
      <c r="R14" s="108"/>
      <c r="S14" s="108"/>
      <c r="T14" s="108"/>
      <c r="U14" s="108"/>
      <c r="V14" s="108"/>
      <c r="W14" s="108"/>
      <c r="X14" s="108"/>
    </row>
    <row r="15" spans="1:24" ht="30">
      <c r="B15" s="181" t="s">
        <v>355</v>
      </c>
      <c r="C15" s="159" t="s">
        <v>440</v>
      </c>
      <c r="D15" s="159" t="s">
        <v>625</v>
      </c>
      <c r="E15" s="245">
        <v>3.4</v>
      </c>
      <c r="F15" s="245">
        <v>22.3</v>
      </c>
      <c r="G15" s="245">
        <v>2.5</v>
      </c>
      <c r="H15" s="242">
        <v>3.7</v>
      </c>
      <c r="I15" s="242">
        <v>19.899999999999999</v>
      </c>
      <c r="J15" s="243">
        <v>2.9</v>
      </c>
      <c r="K15" s="242">
        <v>3.9</v>
      </c>
      <c r="L15" s="242">
        <v>11.9</v>
      </c>
      <c r="M15" s="242">
        <v>3</v>
      </c>
      <c r="N15" s="242">
        <v>3.7</v>
      </c>
      <c r="O15" s="387">
        <f>(E15-H15)/H15</f>
        <v>-8.1081081081081155E-2</v>
      </c>
      <c r="P15" s="387">
        <f>(E15-N15)/N15</f>
        <v>-8.1081081081081155E-2</v>
      </c>
      <c r="Q15" s="288"/>
      <c r="R15" s="108"/>
      <c r="S15" s="108"/>
      <c r="T15" s="108"/>
      <c r="U15" s="108"/>
      <c r="V15" s="108"/>
      <c r="W15" s="108"/>
      <c r="X15" s="108"/>
    </row>
    <row r="16" spans="1:24">
      <c r="B16" s="121"/>
      <c r="C16" s="122"/>
      <c r="D16" s="123"/>
      <c r="E16" s="496"/>
      <c r="F16" s="496"/>
      <c r="G16" s="496"/>
      <c r="H16" s="124"/>
      <c r="I16" s="124"/>
      <c r="J16" s="124"/>
      <c r="K16" s="124"/>
      <c r="L16" s="124"/>
      <c r="M16" s="40"/>
      <c r="N16" s="108"/>
      <c r="O16" s="108"/>
      <c r="P16" s="108"/>
      <c r="Q16" s="108"/>
      <c r="R16" s="108"/>
      <c r="S16" s="108"/>
      <c r="T16" s="108"/>
      <c r="U16" s="108"/>
      <c r="V16" s="108"/>
      <c r="W16" s="108"/>
      <c r="X16" s="108"/>
    </row>
    <row r="17" spans="2:24" ht="36">
      <c r="B17" s="235" t="s">
        <v>442</v>
      </c>
      <c r="C17" s="160" t="s">
        <v>425</v>
      </c>
      <c r="D17" s="236" t="s">
        <v>426</v>
      </c>
      <c r="E17" s="237" t="s">
        <v>427</v>
      </c>
      <c r="F17" s="238" t="s">
        <v>412</v>
      </c>
      <c r="G17" s="238" t="s">
        <v>406</v>
      </c>
      <c r="H17" s="238" t="s">
        <v>409</v>
      </c>
      <c r="I17" s="285" t="str">
        <f>O8</f>
        <v>Performance against prior year</v>
      </c>
      <c r="J17" s="285" t="str">
        <f>P8</f>
        <v>Performance against 2019/20 baseline</v>
      </c>
      <c r="K17" s="285" t="str">
        <f>Q8</f>
        <v>Progress towards 2030 target</v>
      </c>
      <c r="M17" s="40"/>
      <c r="N17" s="108"/>
      <c r="O17" s="108"/>
      <c r="P17" s="108"/>
      <c r="Q17" s="108"/>
      <c r="R17" s="108"/>
      <c r="S17" s="108"/>
      <c r="T17" s="108"/>
      <c r="U17" s="108"/>
      <c r="V17" s="108"/>
      <c r="W17" s="108"/>
      <c r="X17" s="108"/>
    </row>
    <row r="18" spans="2:24" ht="15" customHeight="1">
      <c r="B18" s="161" t="s">
        <v>444</v>
      </c>
      <c r="C18" s="161" t="s">
        <v>445</v>
      </c>
      <c r="D18" s="162" t="s">
        <v>446</v>
      </c>
      <c r="E18" s="246">
        <v>2495475</v>
      </c>
      <c r="F18" s="163">
        <v>2978197</v>
      </c>
      <c r="G18" s="163">
        <v>2812518</v>
      </c>
      <c r="H18" s="163">
        <v>3433660</v>
      </c>
      <c r="I18" s="282">
        <f>(E18-F18)/F18</f>
        <v>-0.16208531537705531</v>
      </c>
      <c r="J18" s="282">
        <f>(E18-H18)/H18</f>
        <v>-0.27323177018108957</v>
      </c>
      <c r="K18" s="282">
        <f>(E18-H18)/((1-0.42)*H18-H18)</f>
        <v>0.6505518337644991</v>
      </c>
      <c r="M18" s="40"/>
      <c r="N18" s="108"/>
      <c r="O18" s="108"/>
      <c r="P18" s="108"/>
      <c r="Q18" s="108"/>
      <c r="R18" s="108"/>
      <c r="S18" s="108"/>
      <c r="T18" s="108"/>
      <c r="U18" s="108"/>
      <c r="V18" s="108"/>
      <c r="W18" s="108"/>
      <c r="X18" s="108"/>
    </row>
    <row r="19" spans="2:24" ht="15" customHeight="1">
      <c r="B19" s="161" t="s">
        <v>447</v>
      </c>
      <c r="C19" s="161" t="s">
        <v>448</v>
      </c>
      <c r="D19" s="162" t="s">
        <v>446</v>
      </c>
      <c r="E19" s="246">
        <v>177329</v>
      </c>
      <c r="F19" s="163">
        <v>163641</v>
      </c>
      <c r="G19" s="163">
        <v>242456</v>
      </c>
      <c r="H19" s="163">
        <v>367141</v>
      </c>
      <c r="I19" s="282">
        <f t="shared" ref="I19:I25" si="2">(E19-F19)/F19</f>
        <v>8.3646518904186604E-2</v>
      </c>
      <c r="J19" s="282">
        <f t="shared" ref="J19:J25" si="3">(E19-H19)/H19</f>
        <v>-0.5170002805461662</v>
      </c>
      <c r="K19" s="394"/>
      <c r="M19" s="40"/>
      <c r="N19" s="108"/>
      <c r="O19" s="108"/>
      <c r="P19" s="108"/>
      <c r="Q19" s="108"/>
      <c r="R19" s="108"/>
      <c r="S19" s="108"/>
      <c r="T19" s="108"/>
      <c r="U19" s="108"/>
      <c r="V19" s="108"/>
      <c r="W19" s="108"/>
      <c r="X19" s="108"/>
    </row>
    <row r="20" spans="2:24" ht="15" customHeight="1">
      <c r="B20" s="161" t="s">
        <v>449</v>
      </c>
      <c r="C20" s="161" t="s">
        <v>450</v>
      </c>
      <c r="D20" s="162" t="s">
        <v>446</v>
      </c>
      <c r="E20" s="246">
        <v>41018</v>
      </c>
      <c r="F20" s="163">
        <v>43505</v>
      </c>
      <c r="G20" s="163">
        <v>36695</v>
      </c>
      <c r="H20" s="163">
        <v>38199</v>
      </c>
      <c r="I20" s="282">
        <f t="shared" si="2"/>
        <v>-5.7165843006550969E-2</v>
      </c>
      <c r="J20" s="282">
        <f t="shared" si="3"/>
        <v>7.379774339642399E-2</v>
      </c>
      <c r="K20" s="394"/>
      <c r="M20" s="40"/>
      <c r="N20" s="108"/>
      <c r="O20" s="345"/>
      <c r="P20" s="108"/>
      <c r="Q20" s="108"/>
      <c r="R20" s="108"/>
      <c r="S20" s="108"/>
      <c r="T20" s="108"/>
      <c r="U20" s="108"/>
      <c r="V20" s="108"/>
      <c r="W20" s="108"/>
      <c r="X20" s="108"/>
    </row>
    <row r="21" spans="2:24" ht="15" customHeight="1">
      <c r="B21" s="161" t="s">
        <v>451</v>
      </c>
      <c r="C21" s="161" t="s">
        <v>452</v>
      </c>
      <c r="D21" s="162" t="s">
        <v>446</v>
      </c>
      <c r="E21" s="246">
        <v>81999</v>
      </c>
      <c r="F21" s="163">
        <v>158625</v>
      </c>
      <c r="G21" s="163">
        <v>94348</v>
      </c>
      <c r="H21" s="163">
        <v>97424</v>
      </c>
      <c r="I21" s="282">
        <f t="shared" si="2"/>
        <v>-0.48306382978723406</v>
      </c>
      <c r="J21" s="282">
        <f t="shared" si="3"/>
        <v>-0.15832854327475776</v>
      </c>
      <c r="K21" s="394"/>
      <c r="M21" s="40"/>
      <c r="N21" s="108"/>
      <c r="O21" s="108"/>
      <c r="P21" s="108"/>
      <c r="Q21" s="108"/>
      <c r="R21" s="108"/>
      <c r="S21" s="108"/>
      <c r="T21" s="108"/>
      <c r="U21" s="108"/>
      <c r="V21" s="108"/>
      <c r="W21" s="108"/>
      <c r="X21" s="108"/>
    </row>
    <row r="22" spans="2:24" ht="15" customHeight="1">
      <c r="B22" s="161" t="s">
        <v>453</v>
      </c>
      <c r="C22" s="161" t="s">
        <v>454</v>
      </c>
      <c r="D22" s="162" t="s">
        <v>446</v>
      </c>
      <c r="E22" s="246">
        <v>4004</v>
      </c>
      <c r="F22" s="163">
        <v>5220</v>
      </c>
      <c r="G22" s="163">
        <v>4549</v>
      </c>
      <c r="H22" s="163">
        <v>3439</v>
      </c>
      <c r="I22" s="282">
        <f t="shared" si="2"/>
        <v>-0.23295019157088123</v>
      </c>
      <c r="J22" s="282">
        <f t="shared" si="3"/>
        <v>0.16429194533294561</v>
      </c>
      <c r="K22" s="394"/>
      <c r="M22" s="40"/>
      <c r="N22" s="108"/>
      <c r="O22" s="108"/>
      <c r="P22" s="108"/>
      <c r="Q22" s="108"/>
      <c r="R22" s="108"/>
      <c r="S22" s="108"/>
      <c r="T22" s="108"/>
      <c r="U22" s="108"/>
      <c r="V22" s="108"/>
      <c r="W22" s="108"/>
      <c r="X22" s="108"/>
    </row>
    <row r="23" spans="2:24" ht="15" customHeight="1">
      <c r="B23" s="161" t="s">
        <v>455</v>
      </c>
      <c r="C23" s="161" t="s">
        <v>456</v>
      </c>
      <c r="D23" s="162" t="s">
        <v>446</v>
      </c>
      <c r="E23" s="246">
        <v>5077.3333333333303</v>
      </c>
      <c r="F23" s="163">
        <v>1336</v>
      </c>
      <c r="G23" s="163">
        <v>67</v>
      </c>
      <c r="H23" s="163">
        <v>9202</v>
      </c>
      <c r="I23" s="282">
        <f t="shared" si="2"/>
        <v>2.8003992015968042</v>
      </c>
      <c r="J23" s="282">
        <f t="shared" si="3"/>
        <v>-0.44823589074838838</v>
      </c>
      <c r="K23" s="394"/>
      <c r="M23" s="40"/>
      <c r="N23" s="108"/>
      <c r="O23" s="108"/>
      <c r="P23" s="108"/>
      <c r="Q23" s="108"/>
      <c r="R23" s="108"/>
      <c r="S23" s="108"/>
      <c r="T23" s="108"/>
      <c r="U23" s="108"/>
      <c r="V23" s="108"/>
      <c r="W23" s="108"/>
      <c r="X23" s="108"/>
    </row>
    <row r="24" spans="2:24" ht="15" customHeight="1">
      <c r="B24" s="161" t="s">
        <v>457</v>
      </c>
      <c r="C24" s="161" t="s">
        <v>458</v>
      </c>
      <c r="D24" s="162" t="s">
        <v>446</v>
      </c>
      <c r="E24" s="246">
        <v>13627</v>
      </c>
      <c r="F24" s="163">
        <v>13517.48</v>
      </c>
      <c r="G24" s="163">
        <v>25763.02</v>
      </c>
      <c r="H24" s="163">
        <v>25763.02</v>
      </c>
      <c r="I24" s="282">
        <f t="shared" si="2"/>
        <v>8.1021018710588401E-3</v>
      </c>
      <c r="J24" s="282">
        <f t="shared" si="3"/>
        <v>-0.47106356320027698</v>
      </c>
      <c r="K24" s="394"/>
      <c r="M24" s="40"/>
      <c r="N24" s="108"/>
      <c r="O24" s="108"/>
      <c r="P24" s="108"/>
      <c r="Q24" s="108"/>
      <c r="R24" s="108"/>
      <c r="S24" s="108"/>
      <c r="T24" s="108"/>
      <c r="U24" s="108"/>
      <c r="V24" s="108"/>
      <c r="W24" s="108"/>
      <c r="X24" s="108"/>
    </row>
    <row r="25" spans="2:24" ht="15" customHeight="1">
      <c r="B25" s="161" t="s">
        <v>459</v>
      </c>
      <c r="C25" s="161" t="s">
        <v>460</v>
      </c>
      <c r="D25" s="162" t="s">
        <v>446</v>
      </c>
      <c r="E25" s="246">
        <v>523</v>
      </c>
      <c r="F25" s="163">
        <v>698</v>
      </c>
      <c r="G25" s="163">
        <v>602</v>
      </c>
      <c r="H25" s="163">
        <v>5094</v>
      </c>
      <c r="I25" s="282">
        <f t="shared" si="2"/>
        <v>-0.25071633237822349</v>
      </c>
      <c r="J25" s="282">
        <f t="shared" si="3"/>
        <v>-0.89733019238319589</v>
      </c>
      <c r="K25" s="394"/>
      <c r="M25" s="40"/>
      <c r="N25" s="108"/>
      <c r="O25" s="108"/>
      <c r="P25" s="108"/>
      <c r="Q25" s="108"/>
      <c r="R25" s="108"/>
      <c r="S25" s="108"/>
      <c r="T25" s="108"/>
      <c r="U25" s="108"/>
      <c r="V25" s="108"/>
      <c r="W25" s="108"/>
      <c r="X25" s="108"/>
    </row>
    <row r="26" spans="2:24" ht="15" customHeight="1">
      <c r="B26" s="161" t="s">
        <v>461</v>
      </c>
      <c r="C26" s="161" t="s">
        <v>462</v>
      </c>
      <c r="D26" s="162" t="s">
        <v>446</v>
      </c>
      <c r="E26" s="246">
        <v>0</v>
      </c>
      <c r="F26" s="163">
        <v>0</v>
      </c>
      <c r="G26" s="163">
        <v>0</v>
      </c>
      <c r="H26" s="163">
        <v>0</v>
      </c>
      <c r="I26" s="282"/>
      <c r="J26" s="282"/>
      <c r="K26" s="394"/>
      <c r="M26" s="40"/>
      <c r="N26" s="108"/>
      <c r="O26" s="108"/>
      <c r="P26" s="108"/>
      <c r="Q26" s="108"/>
      <c r="R26" s="108"/>
      <c r="S26" s="108"/>
      <c r="T26" s="108"/>
      <c r="U26" s="108"/>
      <c r="V26" s="108"/>
      <c r="W26" s="108"/>
      <c r="X26" s="108"/>
    </row>
    <row r="27" spans="2:24" ht="15" customHeight="1">
      <c r="B27" s="161" t="s">
        <v>463</v>
      </c>
      <c r="C27" s="161" t="s">
        <v>464</v>
      </c>
      <c r="D27" s="162" t="s">
        <v>446</v>
      </c>
      <c r="E27" s="246">
        <v>0</v>
      </c>
      <c r="F27" s="163">
        <v>0</v>
      </c>
      <c r="G27" s="163">
        <v>0</v>
      </c>
      <c r="H27" s="163">
        <v>0</v>
      </c>
      <c r="I27" s="282"/>
      <c r="J27" s="282"/>
      <c r="K27" s="394"/>
      <c r="M27" s="40"/>
      <c r="N27" s="108"/>
      <c r="O27" s="108"/>
      <c r="P27" s="108"/>
      <c r="Q27" s="108"/>
      <c r="R27" s="108"/>
      <c r="S27" s="108"/>
      <c r="T27" s="108"/>
      <c r="U27" s="108"/>
      <c r="V27" s="108"/>
      <c r="W27" s="108"/>
      <c r="X27" s="108"/>
    </row>
    <row r="28" spans="2:24" ht="15" customHeight="1">
      <c r="B28" s="161" t="s">
        <v>465</v>
      </c>
      <c r="C28" s="161" t="s">
        <v>466</v>
      </c>
      <c r="D28" s="162" t="s">
        <v>446</v>
      </c>
      <c r="E28" s="246">
        <v>0</v>
      </c>
      <c r="F28" s="163">
        <v>0</v>
      </c>
      <c r="G28" s="163">
        <v>0</v>
      </c>
      <c r="H28" s="163">
        <v>0</v>
      </c>
      <c r="I28" s="282"/>
      <c r="J28" s="282"/>
      <c r="K28" s="394"/>
      <c r="M28" s="40"/>
      <c r="N28" s="108"/>
      <c r="O28" s="108"/>
      <c r="P28" s="108"/>
      <c r="Q28" s="108"/>
      <c r="R28" s="108"/>
      <c r="S28" s="108"/>
      <c r="T28" s="108"/>
      <c r="U28" s="108"/>
      <c r="V28" s="108"/>
      <c r="W28" s="108"/>
      <c r="X28" s="108"/>
    </row>
    <row r="29" spans="2:24" ht="15" customHeight="1">
      <c r="B29" s="161" t="s">
        <v>467</v>
      </c>
      <c r="C29" s="161" t="s">
        <v>468</v>
      </c>
      <c r="D29" s="162" t="s">
        <v>446</v>
      </c>
      <c r="E29" s="246">
        <v>0</v>
      </c>
      <c r="F29" s="163">
        <v>0</v>
      </c>
      <c r="G29" s="163">
        <v>0</v>
      </c>
      <c r="H29" s="163">
        <v>0</v>
      </c>
      <c r="I29" s="282"/>
      <c r="J29" s="282"/>
      <c r="K29" s="394"/>
      <c r="M29" s="40"/>
      <c r="N29" s="108"/>
      <c r="O29" s="108"/>
      <c r="P29" s="108"/>
      <c r="Q29" s="108"/>
      <c r="R29" s="108"/>
      <c r="S29" s="108"/>
      <c r="T29" s="108"/>
      <c r="U29" s="108"/>
      <c r="V29" s="108"/>
      <c r="W29" s="108"/>
      <c r="X29" s="108"/>
    </row>
    <row r="30" spans="2:24" ht="15" customHeight="1">
      <c r="B30" s="161" t="s">
        <v>469</v>
      </c>
      <c r="C30" s="161" t="s">
        <v>470</v>
      </c>
      <c r="D30" s="162" t="s">
        <v>446</v>
      </c>
      <c r="E30" s="246">
        <v>0</v>
      </c>
      <c r="F30" s="163">
        <v>0</v>
      </c>
      <c r="G30" s="163">
        <v>0</v>
      </c>
      <c r="H30" s="163">
        <v>0</v>
      </c>
      <c r="I30" s="282"/>
      <c r="J30" s="282"/>
      <c r="K30" s="394"/>
      <c r="M30" s="40"/>
      <c r="N30" s="108"/>
      <c r="O30" s="108"/>
      <c r="P30" s="108"/>
      <c r="Q30" s="108"/>
      <c r="R30" s="108"/>
      <c r="S30" s="108"/>
      <c r="T30" s="108"/>
      <c r="U30" s="108"/>
      <c r="V30" s="108"/>
      <c r="W30" s="108"/>
      <c r="X30" s="108"/>
    </row>
    <row r="31" spans="2:24" ht="15" customHeight="1">
      <c r="B31" s="161" t="s">
        <v>471</v>
      </c>
      <c r="C31" s="161" t="s">
        <v>472</v>
      </c>
      <c r="D31" s="162" t="s">
        <v>446</v>
      </c>
      <c r="E31" s="246">
        <v>0</v>
      </c>
      <c r="F31" s="163">
        <v>0</v>
      </c>
      <c r="G31" s="163">
        <v>0</v>
      </c>
      <c r="H31" s="163">
        <v>0</v>
      </c>
      <c r="I31" s="282"/>
      <c r="J31" s="282"/>
      <c r="K31" s="394"/>
      <c r="M31" s="40"/>
      <c r="N31" s="108"/>
      <c r="O31" s="108"/>
      <c r="P31" s="108"/>
      <c r="Q31" s="108"/>
      <c r="R31" s="108"/>
      <c r="S31" s="108"/>
      <c r="T31" s="108"/>
      <c r="U31" s="108"/>
      <c r="V31" s="108"/>
      <c r="W31" s="108"/>
      <c r="X31" s="108"/>
    </row>
    <row r="32" spans="2:24" ht="15" customHeight="1">
      <c r="B32" s="161" t="s">
        <v>473</v>
      </c>
      <c r="C32" s="161" t="s">
        <v>474</v>
      </c>
      <c r="D32" s="162" t="s">
        <v>446</v>
      </c>
      <c r="E32" s="246">
        <v>125196</v>
      </c>
      <c r="F32" s="163">
        <v>118356</v>
      </c>
      <c r="G32" s="163">
        <v>119005</v>
      </c>
      <c r="H32" s="163">
        <v>129337</v>
      </c>
      <c r="I32" s="282">
        <f>(E32-F32)/F32</f>
        <v>5.779174693298185E-2</v>
      </c>
      <c r="J32" s="282">
        <f>(E32-H32)/H32</f>
        <v>-3.2017133534874009E-2</v>
      </c>
      <c r="K32" s="394"/>
      <c r="M32" s="40"/>
      <c r="N32" s="108"/>
      <c r="O32" s="108"/>
      <c r="P32" s="108"/>
      <c r="Q32" s="108"/>
      <c r="R32" s="108"/>
      <c r="S32" s="108"/>
      <c r="T32" s="108"/>
      <c r="U32" s="108"/>
      <c r="V32" s="108"/>
      <c r="W32" s="108"/>
      <c r="X32" s="108"/>
    </row>
    <row r="33" spans="2:24" ht="16.5">
      <c r="B33" s="164" t="s">
        <v>475</v>
      </c>
      <c r="C33" s="164"/>
      <c r="D33" s="164" t="s">
        <v>476</v>
      </c>
      <c r="E33" s="246">
        <f>SUM(E18:E32)</f>
        <v>2944248.3333333335</v>
      </c>
      <c r="F33" s="165">
        <f>SUM(F18:F32)</f>
        <v>3483095.48</v>
      </c>
      <c r="G33" s="165">
        <f>SUM(G18:G32)</f>
        <v>3336003.02</v>
      </c>
      <c r="H33" s="165">
        <f>SUM(H18:H32)</f>
        <v>4109259.02</v>
      </c>
      <c r="I33" s="282">
        <f>(E33-F33)/F33</f>
        <v>-0.15470352442553958</v>
      </c>
      <c r="J33" s="282">
        <f>(E33-H33)/H33</f>
        <v>-0.28350870095958725</v>
      </c>
      <c r="K33" s="394"/>
      <c r="M33" s="40"/>
      <c r="N33" s="108"/>
      <c r="O33" s="108"/>
      <c r="P33" s="108"/>
      <c r="Q33" s="108"/>
      <c r="R33" s="108"/>
      <c r="S33" s="108"/>
      <c r="T33" s="108"/>
      <c r="U33" s="108"/>
      <c r="V33" s="108"/>
      <c r="W33" s="108"/>
      <c r="X33" s="108"/>
    </row>
    <row r="34" spans="2:24">
      <c r="B34" s="125"/>
      <c r="C34" s="126"/>
      <c r="D34" s="127"/>
      <c r="E34" s="127"/>
      <c r="F34" s="127"/>
      <c r="G34" s="128"/>
      <c r="H34" s="128"/>
      <c r="I34" s="124"/>
      <c r="J34" s="124"/>
      <c r="K34" s="124"/>
      <c r="L34" s="124"/>
      <c r="M34" s="40"/>
      <c r="N34" s="108"/>
      <c r="O34" s="108"/>
      <c r="P34" s="108"/>
      <c r="Q34" s="108"/>
      <c r="R34" s="108"/>
      <c r="S34" s="108"/>
      <c r="T34" s="108"/>
      <c r="U34" s="108"/>
      <c r="V34" s="108"/>
      <c r="W34" s="108"/>
      <c r="X34" s="108"/>
    </row>
    <row r="35" spans="2:24" ht="17.5">
      <c r="B35" s="235" t="s">
        <v>477</v>
      </c>
      <c r="C35" s="166"/>
      <c r="D35" s="236" t="s">
        <v>426</v>
      </c>
      <c r="E35" s="274" t="str">
        <f>E17</f>
        <v>2022/23</v>
      </c>
      <c r="F35" s="275" t="str">
        <f>F17</f>
        <v>2021/22</v>
      </c>
      <c r="G35" s="275" t="str">
        <f>G17</f>
        <v>2020/21</v>
      </c>
      <c r="H35" s="275" t="str">
        <f>H17</f>
        <v>2019/20</v>
      </c>
      <c r="I35" s="128"/>
      <c r="K35" s="129"/>
      <c r="M35" s="129"/>
      <c r="N35" s="129" t="s">
        <v>626</v>
      </c>
      <c r="O35" s="108"/>
      <c r="P35" s="108"/>
      <c r="Q35" s="108"/>
      <c r="R35" s="108"/>
      <c r="S35" s="108"/>
      <c r="T35" s="108"/>
      <c r="U35" s="108"/>
      <c r="V35" s="108"/>
      <c r="W35" s="108"/>
      <c r="X35" s="108"/>
    </row>
    <row r="36" spans="2:24" ht="16.5">
      <c r="B36" s="167" t="str">
        <f>B10</f>
        <v>Total Scope 1 GHG emissions</v>
      </c>
      <c r="C36" s="168" t="s">
        <v>428</v>
      </c>
      <c r="D36" s="162" t="s">
        <v>446</v>
      </c>
      <c r="E36" s="247">
        <f>E10</f>
        <v>233300</v>
      </c>
      <c r="F36" s="169">
        <f>H10</f>
        <v>239862</v>
      </c>
      <c r="G36" s="169">
        <f>K10</f>
        <v>240473</v>
      </c>
      <c r="H36" s="169">
        <f>N10</f>
        <v>238069</v>
      </c>
      <c r="K36" s="129"/>
      <c r="M36" s="129" t="s">
        <v>627</v>
      </c>
      <c r="N36" s="388">
        <f>E36/$E$40</f>
        <v>7.0527397611580958E-2</v>
      </c>
      <c r="O36" s="108"/>
      <c r="P36" s="108"/>
      <c r="Q36" s="108"/>
      <c r="R36" s="108"/>
      <c r="S36" s="108"/>
      <c r="T36" s="108"/>
      <c r="U36" s="108"/>
      <c r="V36" s="108"/>
      <c r="W36" s="108"/>
      <c r="X36" s="108"/>
    </row>
    <row r="37" spans="2:24" ht="16.5">
      <c r="B37" s="167" t="str">
        <f>B11</f>
        <v>Total Scope 2 GHG emissions (market-based)</v>
      </c>
      <c r="C37" s="168" t="s">
        <v>428</v>
      </c>
      <c r="D37" s="162" t="s">
        <v>446</v>
      </c>
      <c r="E37" s="247">
        <f>E11</f>
        <v>130386</v>
      </c>
      <c r="F37" s="169">
        <f>H11</f>
        <v>170248</v>
      </c>
      <c r="G37" s="169">
        <f>K11</f>
        <v>169111</v>
      </c>
      <c r="H37" s="169">
        <f>N11</f>
        <v>179749</v>
      </c>
      <c r="K37" s="129"/>
      <c r="M37" s="129" t="s">
        <v>628</v>
      </c>
      <c r="N37" s="388">
        <f>E37/$E$40</f>
        <v>3.941613915552334E-2</v>
      </c>
      <c r="O37" s="108"/>
      <c r="P37" s="108"/>
      <c r="Q37" s="108"/>
      <c r="R37" s="108"/>
      <c r="S37" s="108"/>
      <c r="T37" s="108"/>
      <c r="U37" s="108"/>
      <c r="V37" s="108"/>
      <c r="W37" s="108"/>
      <c r="X37" s="108"/>
    </row>
    <row r="38" spans="2:24" ht="19.5" customHeight="1">
      <c r="B38" s="167" t="str">
        <f>"Scope 3 - "&amp;B18</f>
        <v>Scope 3 - Total Scope 3 (Category 1) Purchased goods and services GHG emissions</v>
      </c>
      <c r="C38" s="161" t="s">
        <v>478</v>
      </c>
      <c r="D38" s="162" t="s">
        <v>446</v>
      </c>
      <c r="E38" s="247">
        <f>E18</f>
        <v>2495475</v>
      </c>
      <c r="F38" s="169">
        <f>F18</f>
        <v>2978197</v>
      </c>
      <c r="G38" s="169">
        <f>G18</f>
        <v>2812518</v>
      </c>
      <c r="H38" s="169">
        <f>H18</f>
        <v>3433660</v>
      </c>
      <c r="K38" s="129"/>
      <c r="M38" s="129" t="s">
        <v>629</v>
      </c>
      <c r="N38" s="388">
        <f>E38/$E$40</f>
        <v>0.75439073105340759</v>
      </c>
      <c r="O38" s="108"/>
      <c r="P38" s="108"/>
      <c r="Q38" s="108"/>
      <c r="R38" s="108"/>
      <c r="S38" s="108"/>
      <c r="T38" s="108"/>
      <c r="U38" s="108"/>
      <c r="V38" s="108"/>
      <c r="W38" s="108"/>
      <c r="X38" s="108"/>
    </row>
    <row r="39" spans="2:24" ht="16.5">
      <c r="B39" s="167" t="str">
        <f>"Scope 3 - All other categories"</f>
        <v>Scope 3 - All other categories</v>
      </c>
      <c r="C39" s="168" t="s">
        <v>479</v>
      </c>
      <c r="D39" s="162" t="s">
        <v>446</v>
      </c>
      <c r="E39" s="247">
        <f>E33-E18</f>
        <v>448773.33333333349</v>
      </c>
      <c r="F39" s="169">
        <f>F33-F18</f>
        <v>504898.48</v>
      </c>
      <c r="G39" s="169">
        <f>G33-G18</f>
        <v>523485.02</v>
      </c>
      <c r="H39" s="169">
        <f>H33-H18</f>
        <v>675599.02</v>
      </c>
      <c r="K39" s="129"/>
      <c r="M39" s="129" t="s">
        <v>630</v>
      </c>
      <c r="N39" s="388">
        <f>E39/$E$40</f>
        <v>0.13566573217948807</v>
      </c>
      <c r="O39" s="108"/>
      <c r="P39" s="108"/>
      <c r="Q39" s="108"/>
      <c r="R39" s="108"/>
      <c r="S39" s="108"/>
      <c r="T39" s="108"/>
      <c r="U39" s="108"/>
      <c r="V39" s="108"/>
      <c r="W39" s="108"/>
      <c r="X39" s="108"/>
    </row>
    <row r="40" spans="2:24" ht="16.5">
      <c r="B40" s="239" t="s">
        <v>480</v>
      </c>
      <c r="C40" s="239"/>
      <c r="D40" s="164" t="s">
        <v>476</v>
      </c>
      <c r="E40" s="247">
        <f>SUM(E36:E39)</f>
        <v>3307934.3333333335</v>
      </c>
      <c r="F40" s="240">
        <f t="shared" ref="F40:H40" si="4">SUM(F36:F39)</f>
        <v>3893205.48</v>
      </c>
      <c r="G40" s="240">
        <f t="shared" si="4"/>
        <v>3745587.02</v>
      </c>
      <c r="H40" s="240">
        <f t="shared" si="4"/>
        <v>4527077.0199999996</v>
      </c>
      <c r="K40" s="129"/>
      <c r="M40" s="129"/>
      <c r="N40" s="388">
        <f>E40/$E$40</f>
        <v>1</v>
      </c>
      <c r="O40" s="108"/>
      <c r="P40" s="108"/>
      <c r="Q40" s="108"/>
      <c r="R40" s="108"/>
      <c r="S40" s="108"/>
      <c r="T40" s="108"/>
      <c r="U40" s="108"/>
      <c r="V40" s="108"/>
      <c r="W40" s="108"/>
      <c r="X40" s="108"/>
    </row>
    <row r="41" spans="2:24">
      <c r="B41" s="127"/>
      <c r="C41" s="126"/>
      <c r="D41" s="127"/>
      <c r="E41" s="127"/>
      <c r="F41" s="127"/>
      <c r="G41" s="128"/>
      <c r="H41" s="128"/>
      <c r="I41" s="128"/>
      <c r="J41" s="129"/>
      <c r="K41" s="129"/>
      <c r="L41" s="129"/>
      <c r="M41" s="108"/>
      <c r="N41" s="108">
        <f>7.1+3.9+75.4+13.6</f>
        <v>100</v>
      </c>
      <c r="O41" s="108"/>
      <c r="P41" s="108"/>
      <c r="Q41" s="108"/>
      <c r="R41" s="108"/>
      <c r="S41" s="108"/>
      <c r="T41" s="108"/>
      <c r="U41" s="108"/>
      <c r="V41" s="108"/>
      <c r="W41" s="108"/>
      <c r="X41" s="108"/>
    </row>
    <row r="42" spans="2:24" ht="17.5">
      <c r="B42" s="235" t="s">
        <v>966</v>
      </c>
      <c r="C42" s="166"/>
      <c r="D42" s="236" t="s">
        <v>426</v>
      </c>
      <c r="E42" s="482" t="str">
        <f>E35</f>
        <v>2022/23</v>
      </c>
      <c r="F42" s="275" t="str">
        <f>F35</f>
        <v>2021/22</v>
      </c>
      <c r="G42" s="275" t="str">
        <f>G35</f>
        <v>2020/21</v>
      </c>
      <c r="H42" s="275" t="str">
        <f>H35</f>
        <v>2019/20</v>
      </c>
      <c r="I42" s="128"/>
      <c r="J42" s="129"/>
      <c r="K42" s="129"/>
      <c r="L42" s="129"/>
      <c r="M42" s="108"/>
      <c r="N42" s="108"/>
      <c r="O42" s="108"/>
      <c r="P42" s="108"/>
      <c r="Q42" s="108"/>
      <c r="R42" s="108"/>
      <c r="S42" s="108"/>
      <c r="T42" s="108"/>
      <c r="U42" s="108"/>
      <c r="V42" s="108"/>
      <c r="W42" s="108"/>
      <c r="X42" s="108"/>
    </row>
    <row r="43" spans="2:24" ht="19.5" customHeight="1">
      <c r="B43" s="167" t="s">
        <v>965</v>
      </c>
      <c r="C43" s="168" t="s">
        <v>967</v>
      </c>
      <c r="D43" s="162" t="s">
        <v>968</v>
      </c>
      <c r="E43" s="247">
        <v>108126</v>
      </c>
      <c r="F43" s="169">
        <v>109536</v>
      </c>
      <c r="G43" s="169">
        <v>106223</v>
      </c>
      <c r="H43" s="169">
        <v>113152</v>
      </c>
      <c r="I43" s="128"/>
      <c r="J43" s="129"/>
      <c r="K43" s="129"/>
      <c r="L43" s="129"/>
      <c r="M43" s="108"/>
      <c r="N43" s="108"/>
      <c r="O43" s="108"/>
      <c r="P43" s="108"/>
      <c r="Q43" s="108"/>
      <c r="R43" s="108"/>
      <c r="S43" s="108"/>
      <c r="T43" s="108"/>
      <c r="U43" s="108"/>
      <c r="V43" s="108"/>
      <c r="W43" s="108"/>
      <c r="X43" s="108"/>
    </row>
    <row r="44" spans="2:24">
      <c r="B44" s="127"/>
      <c r="C44" s="126"/>
      <c r="D44" s="127"/>
      <c r="E44" s="127"/>
      <c r="F44" s="127"/>
      <c r="G44" s="127"/>
      <c r="H44" s="127"/>
      <c r="I44" s="127"/>
      <c r="J44" s="129"/>
      <c r="K44" s="129"/>
      <c r="L44" s="129"/>
      <c r="M44" s="108"/>
      <c r="N44" s="108"/>
      <c r="O44" s="108"/>
      <c r="P44" s="108"/>
      <c r="Q44" s="108"/>
      <c r="R44" s="108"/>
      <c r="S44" s="108"/>
      <c r="T44" s="108"/>
      <c r="U44" s="108"/>
      <c r="V44" s="108"/>
      <c r="W44" s="108"/>
      <c r="X44" s="108"/>
    </row>
    <row r="45" spans="2:24" ht="24.5">
      <c r="B45" s="130" t="s">
        <v>481</v>
      </c>
      <c r="C45" s="114"/>
      <c r="D45" s="115"/>
      <c r="E45" s="115"/>
      <c r="F45" s="115"/>
      <c r="G45" s="1357"/>
      <c r="H45" s="1357"/>
      <c r="I45" s="1357"/>
      <c r="J45" s="116"/>
      <c r="K45" s="116"/>
      <c r="L45" s="131"/>
      <c r="M45" s="131"/>
      <c r="N45" s="131"/>
      <c r="O45" s="131"/>
    </row>
    <row r="46" spans="2:24">
      <c r="B46" s="132"/>
      <c r="C46" s="133"/>
      <c r="D46" s="134"/>
      <c r="E46" s="135"/>
      <c r="F46" s="134"/>
      <c r="G46" s="134"/>
      <c r="H46" s="134"/>
    </row>
    <row r="47" spans="2:24" ht="36">
      <c r="B47" s="250" t="s">
        <v>330</v>
      </c>
      <c r="C47" s="251" t="s">
        <v>616</v>
      </c>
      <c r="D47" s="236" t="s">
        <v>426</v>
      </c>
      <c r="E47" s="252" t="s">
        <v>427</v>
      </c>
      <c r="F47" s="276" t="s">
        <v>412</v>
      </c>
      <c r="G47" s="277" t="s">
        <v>406</v>
      </c>
      <c r="H47" s="277" t="s">
        <v>409</v>
      </c>
      <c r="I47" s="280" t="str">
        <f>I17</f>
        <v>Performance against prior year</v>
      </c>
      <c r="J47" s="280" t="str">
        <f>J17</f>
        <v>Performance against 2019/20 baseline</v>
      </c>
      <c r="K47" s="280" t="str">
        <f>K17</f>
        <v>Progress towards 2030 target</v>
      </c>
    </row>
    <row r="48" spans="2:24" ht="17.5">
      <c r="B48" s="193" t="s">
        <v>482</v>
      </c>
      <c r="C48" s="171"/>
      <c r="D48" s="170"/>
      <c r="E48" s="172"/>
      <c r="F48" s="172"/>
      <c r="G48" s="172"/>
      <c r="H48" s="172"/>
      <c r="I48" s="282"/>
      <c r="J48" s="282"/>
      <c r="K48" s="394"/>
    </row>
    <row r="49" spans="2:12" ht="15.5">
      <c r="B49" s="173" t="s">
        <v>483</v>
      </c>
      <c r="C49" s="174" t="s">
        <v>484</v>
      </c>
      <c r="D49" s="175" t="s">
        <v>485</v>
      </c>
      <c r="E49" s="248">
        <v>1705818</v>
      </c>
      <c r="F49" s="176">
        <v>1815379</v>
      </c>
      <c r="G49" s="177">
        <v>1698159</v>
      </c>
      <c r="H49" s="177">
        <v>1849211</v>
      </c>
      <c r="I49" s="282">
        <f t="shared" ref="I49:I54" si="5">(E49-F49)/F49</f>
        <v>-6.0351584985834913E-2</v>
      </c>
      <c r="J49" s="282">
        <f>(E49-H49)/H49</f>
        <v>-7.7542800686346766E-2</v>
      </c>
      <c r="K49" s="394"/>
      <c r="L49" s="136"/>
    </row>
    <row r="50" spans="2:12" ht="15.5">
      <c r="B50" s="173" t="s">
        <v>486</v>
      </c>
      <c r="C50" s="174" t="s">
        <v>487</v>
      </c>
      <c r="D50" s="175" t="s">
        <v>485</v>
      </c>
      <c r="E50" s="249">
        <v>0</v>
      </c>
      <c r="F50" s="178">
        <v>0</v>
      </c>
      <c r="G50" s="179">
        <v>0</v>
      </c>
      <c r="H50" s="179">
        <v>0</v>
      </c>
      <c r="I50" s="282"/>
      <c r="J50" s="282"/>
      <c r="K50" s="394"/>
    </row>
    <row r="51" spans="2:12" ht="27">
      <c r="B51" s="173" t="s">
        <v>488</v>
      </c>
      <c r="C51" s="174" t="s">
        <v>489</v>
      </c>
      <c r="D51" s="175" t="s">
        <v>485</v>
      </c>
      <c r="E51" s="249">
        <v>95060</v>
      </c>
      <c r="F51" s="178">
        <v>95150</v>
      </c>
      <c r="G51" s="180">
        <v>78886</v>
      </c>
      <c r="H51" s="180">
        <v>72326</v>
      </c>
      <c r="I51" s="282">
        <f t="shared" si="5"/>
        <v>-9.4587493431424064E-4</v>
      </c>
      <c r="J51" s="282">
        <f t="shared" ref="J51:J54" si="6">(E51-H51)/H51</f>
        <v>0.31432679810856401</v>
      </c>
      <c r="K51" s="394"/>
    </row>
    <row r="52" spans="2:12" ht="18" customHeight="1">
      <c r="B52" s="181" t="s">
        <v>366</v>
      </c>
      <c r="C52" s="182" t="s">
        <v>491</v>
      </c>
      <c r="D52" s="183" t="s">
        <v>492</v>
      </c>
      <c r="E52" s="172">
        <f>SUM(E49:E51)</f>
        <v>1800878</v>
      </c>
      <c r="F52" s="184">
        <f>SUM(F49:F51)</f>
        <v>1910529</v>
      </c>
      <c r="G52" s="184">
        <f>SUM(G49:G51)</f>
        <v>1777045</v>
      </c>
      <c r="H52" s="184">
        <f>SUM(H49:H51)</f>
        <v>1921537</v>
      </c>
      <c r="I52" s="282">
        <f t="shared" si="5"/>
        <v>-5.7393004764648953E-2</v>
      </c>
      <c r="J52" s="282">
        <f t="shared" si="6"/>
        <v>-6.2792962092325044E-2</v>
      </c>
      <c r="K52" s="394"/>
    </row>
    <row r="53" spans="2:12" ht="17.5">
      <c r="B53" s="193" t="s">
        <v>493</v>
      </c>
      <c r="C53" s="171"/>
      <c r="D53" s="170"/>
      <c r="E53" s="172"/>
      <c r="F53" s="172"/>
      <c r="G53" s="172"/>
      <c r="H53" s="172"/>
      <c r="I53" s="282"/>
      <c r="J53" s="282"/>
      <c r="K53" s="394"/>
    </row>
    <row r="54" spans="2:12" ht="40.5">
      <c r="B54" s="187" t="s">
        <v>631</v>
      </c>
      <c r="C54" s="174" t="s">
        <v>632</v>
      </c>
      <c r="D54" s="183" t="s">
        <v>492</v>
      </c>
      <c r="E54" s="248">
        <v>48993</v>
      </c>
      <c r="F54" s="186">
        <v>77174</v>
      </c>
      <c r="G54" s="186">
        <v>65976</v>
      </c>
      <c r="H54" s="186">
        <v>72194</v>
      </c>
      <c r="I54" s="282">
        <f t="shared" si="5"/>
        <v>-0.36516184207116387</v>
      </c>
      <c r="J54" s="282">
        <f t="shared" si="6"/>
        <v>-0.32137019696927721</v>
      </c>
      <c r="K54" s="394"/>
    </row>
    <row r="55" spans="2:12" ht="17.5">
      <c r="B55" s="193" t="s">
        <v>496</v>
      </c>
      <c r="C55" s="171"/>
      <c r="D55" s="170"/>
      <c r="E55" s="172"/>
      <c r="F55" s="172"/>
      <c r="G55" s="172"/>
      <c r="H55" s="172"/>
      <c r="I55" s="282"/>
      <c r="J55" s="282"/>
      <c r="K55" s="394"/>
    </row>
    <row r="56" spans="2:12" ht="20" customHeight="1">
      <c r="B56" s="181" t="s">
        <v>368</v>
      </c>
      <c r="C56" s="187" t="s">
        <v>498</v>
      </c>
      <c r="D56" s="181" t="s">
        <v>499</v>
      </c>
      <c r="E56" s="248">
        <f>(E52-E54)/1000</f>
        <v>1751.885</v>
      </c>
      <c r="F56" s="185">
        <f>(F52-F54)/1000</f>
        <v>1833.355</v>
      </c>
      <c r="G56" s="185">
        <f>(G52-G54)/1000</f>
        <v>1711.069</v>
      </c>
      <c r="H56" s="185">
        <f>(H52-H54)/1000</f>
        <v>1849.3430000000001</v>
      </c>
      <c r="I56" s="282">
        <f>(E56-F56)/F56</f>
        <v>-4.4437656645876018E-2</v>
      </c>
      <c r="J56" s="282">
        <f>(E56-H56)/H56</f>
        <v>-5.2698715165331735E-2</v>
      </c>
      <c r="K56" s="282">
        <f>(E56-H56)/((1-0.25)*H56-H56)</f>
        <v>0.21079486066132694</v>
      </c>
    </row>
    <row r="57" spans="2:12">
      <c r="B57" s="137"/>
      <c r="C57" s="138"/>
      <c r="D57" s="137"/>
      <c r="E57" s="139"/>
      <c r="F57" s="139"/>
      <c r="G57" s="140"/>
      <c r="H57" s="140"/>
      <c r="J57" s="141"/>
      <c r="K57" s="141"/>
    </row>
    <row r="58" spans="2:12" ht="148.5">
      <c r="B58" s="411" t="s">
        <v>372</v>
      </c>
      <c r="C58" s="411" t="s">
        <v>500</v>
      </c>
      <c r="D58" s="412" t="s">
        <v>501</v>
      </c>
      <c r="E58" s="410">
        <f>399174/1000</f>
        <v>399.17399999999998</v>
      </c>
      <c r="F58" s="410">
        <f>421595/1000</f>
        <v>421.59500000000003</v>
      </c>
      <c r="G58" s="410">
        <f>406037/1000</f>
        <v>406.03699999999998</v>
      </c>
      <c r="H58" s="140"/>
      <c r="J58" s="141"/>
      <c r="K58" s="141"/>
    </row>
    <row r="59" spans="2:12">
      <c r="B59" s="137"/>
      <c r="C59" s="138"/>
      <c r="D59" s="137"/>
      <c r="E59" s="532"/>
      <c r="F59" s="139"/>
      <c r="G59" s="139"/>
      <c r="H59" s="139"/>
      <c r="J59" s="141"/>
      <c r="K59" s="141"/>
    </row>
    <row r="60" spans="2:12" ht="17.5">
      <c r="B60" s="193" t="s">
        <v>633</v>
      </c>
      <c r="C60" s="171"/>
      <c r="D60" s="170"/>
      <c r="E60" s="172"/>
      <c r="F60" s="188"/>
      <c r="G60" s="172"/>
      <c r="H60" s="172"/>
      <c r="I60" s="325"/>
      <c r="J60" s="326"/>
      <c r="K60" s="326"/>
    </row>
    <row r="61" spans="2:12" ht="54">
      <c r="B61" s="189" t="s">
        <v>503</v>
      </c>
      <c r="C61" s="190" t="s">
        <v>975</v>
      </c>
      <c r="D61" s="191" t="s">
        <v>505</v>
      </c>
      <c r="E61" s="393">
        <v>1355851</v>
      </c>
      <c r="F61" s="212">
        <v>1399565</v>
      </c>
      <c r="G61" s="212">
        <v>1506288</v>
      </c>
      <c r="H61" s="212">
        <v>1394087</v>
      </c>
      <c r="I61" s="325"/>
      <c r="J61" s="326"/>
      <c r="K61" s="326"/>
    </row>
    <row r="62" spans="2:12" ht="67.5">
      <c r="B62" s="181" t="s">
        <v>369</v>
      </c>
      <c r="C62" s="187" t="s">
        <v>506</v>
      </c>
      <c r="D62" s="181" t="s">
        <v>370</v>
      </c>
      <c r="E62" s="170">
        <v>242</v>
      </c>
      <c r="F62" s="181">
        <v>220</v>
      </c>
      <c r="G62" s="181">
        <v>112</v>
      </c>
      <c r="H62" s="181">
        <v>104</v>
      </c>
      <c r="I62" s="325"/>
      <c r="J62" s="327"/>
      <c r="K62" s="327"/>
    </row>
    <row r="63" spans="2:12">
      <c r="B63" s="181" t="s">
        <v>371</v>
      </c>
      <c r="C63" s="187" t="s">
        <v>508</v>
      </c>
      <c r="D63" s="181" t="s">
        <v>357</v>
      </c>
      <c r="E63" s="269">
        <v>0.75</v>
      </c>
      <c r="F63" s="192">
        <v>0.78</v>
      </c>
      <c r="G63" s="192">
        <v>0.8</v>
      </c>
      <c r="H63" s="192">
        <v>0.7</v>
      </c>
      <c r="J63" s="142"/>
      <c r="K63" s="142"/>
    </row>
    <row r="64" spans="2:12">
      <c r="B64" s="143"/>
      <c r="C64" s="144"/>
      <c r="D64" s="145"/>
      <c r="E64" s="145"/>
      <c r="F64" s="146"/>
      <c r="G64" s="146"/>
      <c r="H64" s="146"/>
      <c r="J64" s="142"/>
      <c r="K64" s="142"/>
    </row>
    <row r="65" spans="2:17" ht="36">
      <c r="B65" s="250" t="s">
        <v>110</v>
      </c>
      <c r="C65" s="251" t="s">
        <v>616</v>
      </c>
      <c r="D65" s="236" t="s">
        <v>426</v>
      </c>
      <c r="E65" s="252" t="s">
        <v>427</v>
      </c>
      <c r="F65" s="276" t="s">
        <v>412</v>
      </c>
      <c r="G65" s="277" t="s">
        <v>406</v>
      </c>
      <c r="H65" s="277" t="s">
        <v>409</v>
      </c>
      <c r="I65" s="280" t="str">
        <f>I47</f>
        <v>Performance against prior year</v>
      </c>
      <c r="J65" s="280" t="str">
        <f>J47</f>
        <v>Performance against 2019/20 baseline</v>
      </c>
      <c r="K65" s="280" t="str">
        <f>K47</f>
        <v>Progress towards 2030 target</v>
      </c>
    </row>
    <row r="66" spans="2:17" ht="17.5">
      <c r="B66" s="253" t="s">
        <v>509</v>
      </c>
      <c r="C66" s="255"/>
      <c r="D66" s="230"/>
      <c r="E66" s="248"/>
      <c r="F66" s="248"/>
      <c r="G66" s="248"/>
      <c r="H66" s="248"/>
      <c r="I66" s="283"/>
      <c r="J66" s="284"/>
      <c r="K66" s="284"/>
    </row>
    <row r="67" spans="2:17" ht="27">
      <c r="B67" s="174" t="s">
        <v>510</v>
      </c>
      <c r="C67" s="194" t="s">
        <v>511</v>
      </c>
      <c r="D67" s="195" t="s">
        <v>374</v>
      </c>
      <c r="E67" s="209">
        <v>38519.699999999997</v>
      </c>
      <c r="F67" s="196">
        <v>45151.199999999997</v>
      </c>
      <c r="G67" s="196">
        <v>41025</v>
      </c>
      <c r="H67" s="197">
        <v>40016.699999999997</v>
      </c>
      <c r="I67" s="282">
        <f>(E67-F67)/F67</f>
        <v>-0.1468731728060384</v>
      </c>
      <c r="J67" s="282">
        <f>(E67-H67)/H67</f>
        <v>-3.7409381583189023E-2</v>
      </c>
      <c r="K67" s="282"/>
    </row>
    <row r="68" spans="2:17" ht="27">
      <c r="B68" s="167" t="s">
        <v>512</v>
      </c>
      <c r="C68" s="194" t="s">
        <v>513</v>
      </c>
      <c r="D68" s="195" t="s">
        <v>374</v>
      </c>
      <c r="E68" s="209">
        <v>3340</v>
      </c>
      <c r="F68" s="198">
        <v>2639.7</v>
      </c>
      <c r="G68" s="198">
        <v>2622.3</v>
      </c>
      <c r="H68" s="197">
        <v>2469</v>
      </c>
      <c r="I68" s="282">
        <f t="shared" ref="I68:I72" si="7">(E68-F68)/F68</f>
        <v>0.26529529870818663</v>
      </c>
      <c r="J68" s="282">
        <f t="shared" ref="J68:J71" si="8">(E68-H68)/H68</f>
        <v>0.35277440259214254</v>
      </c>
      <c r="K68" s="394"/>
    </row>
    <row r="69" spans="2:17" ht="27">
      <c r="B69" s="167" t="s">
        <v>514</v>
      </c>
      <c r="C69" s="194" t="s">
        <v>515</v>
      </c>
      <c r="D69" s="195" t="s">
        <v>374</v>
      </c>
      <c r="E69" s="209">
        <v>7058.7</v>
      </c>
      <c r="F69" s="198">
        <v>8560.2999999999993</v>
      </c>
      <c r="G69" s="198">
        <v>7013</v>
      </c>
      <c r="H69" s="197">
        <v>7815</v>
      </c>
      <c r="I69" s="282">
        <f t="shared" si="7"/>
        <v>-0.1754144130462717</v>
      </c>
      <c r="J69" s="282">
        <f t="shared" si="8"/>
        <v>-9.6775431861804248E-2</v>
      </c>
      <c r="K69" s="394"/>
    </row>
    <row r="70" spans="2:17" ht="27">
      <c r="B70" s="167" t="s">
        <v>516</v>
      </c>
      <c r="C70" s="194" t="s">
        <v>517</v>
      </c>
      <c r="D70" s="195" t="s">
        <v>374</v>
      </c>
      <c r="E70" s="209">
        <v>13967</v>
      </c>
      <c r="F70" s="198">
        <v>15289.7</v>
      </c>
      <c r="G70" s="198">
        <v>11538</v>
      </c>
      <c r="H70" s="197">
        <v>13630</v>
      </c>
      <c r="I70" s="282">
        <f t="shared" si="7"/>
        <v>-8.6509218624302678E-2</v>
      </c>
      <c r="J70" s="282">
        <f t="shared" si="8"/>
        <v>2.4724871606749816E-2</v>
      </c>
      <c r="K70" s="394"/>
    </row>
    <row r="71" spans="2:17" ht="40.5">
      <c r="B71" s="199" t="s">
        <v>379</v>
      </c>
      <c r="C71" s="164" t="s">
        <v>634</v>
      </c>
      <c r="D71" s="200" t="s">
        <v>374</v>
      </c>
      <c r="E71" s="212">
        <f>E67+E68</f>
        <v>41859.699999999997</v>
      </c>
      <c r="F71" s="201">
        <f t="shared" ref="F71:H71" si="9">F67+F68</f>
        <v>47790.899999999994</v>
      </c>
      <c r="G71" s="201">
        <f t="shared" si="9"/>
        <v>43647.3</v>
      </c>
      <c r="H71" s="185">
        <f t="shared" si="9"/>
        <v>42485.7</v>
      </c>
      <c r="I71" s="282">
        <f t="shared" si="7"/>
        <v>-0.12410730913207321</v>
      </c>
      <c r="J71" s="282">
        <f t="shared" si="8"/>
        <v>-1.4734369446660877E-2</v>
      </c>
      <c r="K71" s="282">
        <f>(E71-H71)/((1-0.5)*H71-H71)</f>
        <v>2.9468738893321755E-2</v>
      </c>
    </row>
    <row r="72" spans="2:17" ht="40.5">
      <c r="B72" s="199" t="s">
        <v>373</v>
      </c>
      <c r="C72" s="202" t="s">
        <v>519</v>
      </c>
      <c r="D72" s="200" t="s">
        <v>374</v>
      </c>
      <c r="E72" s="212">
        <f>SUM(E67:E70)</f>
        <v>62885.399999999994</v>
      </c>
      <c r="F72" s="177">
        <f>SUM(F67:F70)</f>
        <v>71640.899999999994</v>
      </c>
      <c r="G72" s="177">
        <f>SUM(G67:G70)</f>
        <v>62198.3</v>
      </c>
      <c r="H72" s="177">
        <f>SUM(H67:H70)</f>
        <v>63930.7</v>
      </c>
      <c r="I72" s="282">
        <f t="shared" si="7"/>
        <v>-0.12221370753298745</v>
      </c>
      <c r="J72" s="282">
        <f>(E72-H72)/H72</f>
        <v>-1.6350517044237008E-2</v>
      </c>
      <c r="K72" s="394"/>
    </row>
    <row r="73" spans="2:17" ht="17.5">
      <c r="B73" s="253" t="s">
        <v>520</v>
      </c>
      <c r="C73" s="231"/>
      <c r="D73" s="230"/>
      <c r="E73" s="248">
        <f>38520+3340+7059+13967</f>
        <v>62886</v>
      </c>
      <c r="F73" s="248"/>
      <c r="G73" s="248"/>
      <c r="H73" s="248"/>
    </row>
    <row r="74" spans="2:17" ht="40.5">
      <c r="B74" s="194" t="s">
        <v>521</v>
      </c>
      <c r="C74" s="194" t="s">
        <v>522</v>
      </c>
      <c r="D74" s="195" t="s">
        <v>374</v>
      </c>
      <c r="E74" s="270">
        <v>848</v>
      </c>
      <c r="F74" s="197">
        <v>1744</v>
      </c>
      <c r="G74" s="197">
        <v>885</v>
      </c>
      <c r="H74" s="197">
        <v>1497.1</v>
      </c>
      <c r="M74" s="389" t="s">
        <v>635</v>
      </c>
      <c r="N74" s="389"/>
      <c r="O74" s="389"/>
      <c r="P74" s="389"/>
      <c r="Q74" s="389"/>
    </row>
    <row r="75" spans="2:17" ht="40.5">
      <c r="B75" s="194" t="s">
        <v>523</v>
      </c>
      <c r="C75" s="194" t="s">
        <v>524</v>
      </c>
      <c r="D75" s="195" t="s">
        <v>374</v>
      </c>
      <c r="E75" s="270">
        <v>3871</v>
      </c>
      <c r="F75" s="197">
        <v>6885</v>
      </c>
      <c r="G75" s="197">
        <v>5365</v>
      </c>
      <c r="H75" s="197">
        <v>4991.7</v>
      </c>
      <c r="J75" s="324"/>
      <c r="M75" s="389"/>
      <c r="N75" s="390" t="s">
        <v>427</v>
      </c>
      <c r="O75" s="391" t="s">
        <v>412</v>
      </c>
      <c r="P75" s="390" t="s">
        <v>406</v>
      </c>
      <c r="Q75" s="390" t="s">
        <v>409</v>
      </c>
    </row>
    <row r="76" spans="2:17" ht="27">
      <c r="B76" s="194" t="s">
        <v>525</v>
      </c>
      <c r="C76" s="194" t="s">
        <v>526</v>
      </c>
      <c r="D76" s="195" t="s">
        <v>374</v>
      </c>
      <c r="E76" s="270">
        <v>2038</v>
      </c>
      <c r="F76" s="197">
        <v>2785</v>
      </c>
      <c r="G76" s="197">
        <v>1549</v>
      </c>
      <c r="H76" s="197">
        <v>1444.1</v>
      </c>
      <c r="M76" s="389" t="s">
        <v>636</v>
      </c>
      <c r="N76" s="392">
        <f>E85+E86</f>
        <v>1057</v>
      </c>
      <c r="O76" s="392">
        <f>F85+F86</f>
        <v>1020</v>
      </c>
      <c r="P76" s="392">
        <f>G85+G86</f>
        <v>1031</v>
      </c>
      <c r="Q76" s="392">
        <f>H85+H86</f>
        <v>720</v>
      </c>
    </row>
    <row r="77" spans="2:17" ht="15.5">
      <c r="B77" s="202" t="s">
        <v>637</v>
      </c>
      <c r="C77" s="202" t="s">
        <v>528</v>
      </c>
      <c r="D77" s="200" t="s">
        <v>374</v>
      </c>
      <c r="E77" s="248">
        <f>E74+E75+E76</f>
        <v>6757</v>
      </c>
      <c r="F77" s="185">
        <f>F74+F75+F76</f>
        <v>11414</v>
      </c>
      <c r="G77" s="185">
        <f>G74+G75+G76</f>
        <v>7799</v>
      </c>
      <c r="H77" s="185">
        <f>H74+H75+H76</f>
        <v>7932.9</v>
      </c>
      <c r="M77" s="389" t="s">
        <v>638</v>
      </c>
      <c r="N77" s="392">
        <f>E87+E88</f>
        <v>36873</v>
      </c>
      <c r="O77" s="392">
        <f>F87+F88</f>
        <v>38277</v>
      </c>
      <c r="P77" s="392">
        <f>G87+G88</f>
        <v>23390</v>
      </c>
      <c r="Q77" s="392">
        <f>H87+H88</f>
        <v>19452</v>
      </c>
    </row>
    <row r="78" spans="2:17" ht="40.5">
      <c r="B78" s="194" t="s">
        <v>529</v>
      </c>
      <c r="C78" s="194" t="s">
        <v>530</v>
      </c>
      <c r="D78" s="195" t="s">
        <v>374</v>
      </c>
      <c r="E78" s="270">
        <v>227</v>
      </c>
      <c r="F78" s="197">
        <v>297.2</v>
      </c>
      <c r="G78" s="197">
        <v>137.80000000000001</v>
      </c>
      <c r="H78" s="197">
        <v>200.4</v>
      </c>
      <c r="M78" s="389" t="s">
        <v>639</v>
      </c>
      <c r="N78" s="392">
        <f t="shared" ref="N78:Q79" si="10">E74+E78</f>
        <v>1075</v>
      </c>
      <c r="O78" s="392">
        <f t="shared" si="10"/>
        <v>2041.2</v>
      </c>
      <c r="P78" s="392">
        <f t="shared" si="10"/>
        <v>1022.8</v>
      </c>
      <c r="Q78" s="392">
        <f t="shared" si="10"/>
        <v>1697.5</v>
      </c>
    </row>
    <row r="79" spans="2:17" ht="27">
      <c r="B79" s="194" t="s">
        <v>640</v>
      </c>
      <c r="C79" s="194" t="s">
        <v>532</v>
      </c>
      <c r="D79" s="195" t="s">
        <v>374</v>
      </c>
      <c r="E79" s="270">
        <v>15662</v>
      </c>
      <c r="F79" s="197">
        <v>19276.2</v>
      </c>
      <c r="G79" s="197">
        <v>28214.400000000001</v>
      </c>
      <c r="H79" s="197">
        <v>33984.199999999997</v>
      </c>
      <c r="M79" s="389" t="s">
        <v>641</v>
      </c>
      <c r="N79" s="392">
        <f t="shared" si="10"/>
        <v>19533</v>
      </c>
      <c r="O79" s="392">
        <f t="shared" si="10"/>
        <v>26161.200000000001</v>
      </c>
      <c r="P79" s="392">
        <f t="shared" si="10"/>
        <v>33579.4</v>
      </c>
      <c r="Q79" s="392">
        <f t="shared" si="10"/>
        <v>38975.899999999994</v>
      </c>
    </row>
    <row r="80" spans="2:17" ht="27">
      <c r="B80" s="194" t="s">
        <v>533</v>
      </c>
      <c r="C80" s="194" t="s">
        <v>534</v>
      </c>
      <c r="D80" s="195" t="s">
        <v>374</v>
      </c>
      <c r="E80" s="270">
        <v>2309</v>
      </c>
      <c r="F80" s="197">
        <v>1356.9</v>
      </c>
      <c r="G80" s="197">
        <v>1625.8</v>
      </c>
      <c r="H80" s="197">
        <v>1641.7</v>
      </c>
      <c r="M80" s="389" t="s">
        <v>642</v>
      </c>
      <c r="N80" s="392">
        <f>E83</f>
        <v>4347</v>
      </c>
      <c r="O80" s="392">
        <f>F83</f>
        <v>4141.8999999999996</v>
      </c>
      <c r="P80" s="392">
        <f>G83</f>
        <v>3174.8</v>
      </c>
      <c r="Q80" s="392">
        <f>H83</f>
        <v>3085.8</v>
      </c>
    </row>
    <row r="81" spans="2:17">
      <c r="B81" s="202" t="s">
        <v>535</v>
      </c>
      <c r="C81" s="202" t="s">
        <v>536</v>
      </c>
      <c r="D81" s="200" t="s">
        <v>374</v>
      </c>
      <c r="E81" s="248">
        <f>E78+E79+E80</f>
        <v>18198</v>
      </c>
      <c r="F81" s="185">
        <f>F78+F79+F80</f>
        <v>20930.300000000003</v>
      </c>
      <c r="G81" s="185">
        <f>G78+G79+G80</f>
        <v>29978</v>
      </c>
      <c r="H81" s="185">
        <f>H78+H79+H80</f>
        <v>35826.299999999996</v>
      </c>
      <c r="M81" s="389" t="s">
        <v>643</v>
      </c>
      <c r="N81" s="392">
        <f>E72</f>
        <v>62885.399999999994</v>
      </c>
      <c r="O81" s="392">
        <f>F72</f>
        <v>71640.899999999994</v>
      </c>
      <c r="P81" s="392">
        <f>G72</f>
        <v>62198.3</v>
      </c>
      <c r="Q81" s="392">
        <f>H72</f>
        <v>63930.7</v>
      </c>
    </row>
    <row r="82" spans="2:17" ht="30" customHeight="1">
      <c r="B82" s="202" t="s">
        <v>537</v>
      </c>
      <c r="C82" s="202" t="s">
        <v>538</v>
      </c>
      <c r="D82" s="200" t="s">
        <v>374</v>
      </c>
      <c r="E82" s="248">
        <f>E81+E77</f>
        <v>24955</v>
      </c>
      <c r="F82" s="185">
        <f>F81+F77</f>
        <v>32344.300000000003</v>
      </c>
      <c r="G82" s="185">
        <f>G81+G77</f>
        <v>37777</v>
      </c>
      <c r="H82" s="185">
        <f>H81+H77</f>
        <v>43759.199999999997</v>
      </c>
    </row>
    <row r="83" spans="2:17" ht="16" customHeight="1">
      <c r="B83" s="202" t="s">
        <v>375</v>
      </c>
      <c r="C83" s="202" t="s">
        <v>540</v>
      </c>
      <c r="D83" s="200" t="s">
        <v>374</v>
      </c>
      <c r="E83" s="248">
        <f>E80+E76</f>
        <v>4347</v>
      </c>
      <c r="F83" s="185">
        <f>F80+F76</f>
        <v>4141.8999999999996</v>
      </c>
      <c r="G83" s="185">
        <f>G80+G76</f>
        <v>3174.8</v>
      </c>
      <c r="H83" s="185">
        <f>H80+H76</f>
        <v>3085.8</v>
      </c>
      <c r="L83" s="136"/>
      <c r="M83" s="136"/>
      <c r="N83" s="136"/>
      <c r="O83" s="136"/>
    </row>
    <row r="84" spans="2:17" ht="17.5">
      <c r="B84" s="253" t="s">
        <v>541</v>
      </c>
      <c r="C84" s="231"/>
      <c r="D84" s="230"/>
      <c r="E84" s="248"/>
      <c r="F84" s="248"/>
      <c r="G84" s="248"/>
      <c r="H84" s="248"/>
    </row>
    <row r="85" spans="2:17" ht="54">
      <c r="B85" s="203" t="s">
        <v>644</v>
      </c>
      <c r="C85" s="162" t="s">
        <v>543</v>
      </c>
      <c r="D85" s="195" t="s">
        <v>374</v>
      </c>
      <c r="E85" s="271">
        <v>137</v>
      </c>
      <c r="F85" s="204">
        <v>127</v>
      </c>
      <c r="G85" s="204">
        <v>106</v>
      </c>
      <c r="H85" s="204">
        <v>127</v>
      </c>
    </row>
    <row r="86" spans="2:17" ht="54">
      <c r="B86" s="203" t="s">
        <v>645</v>
      </c>
      <c r="C86" s="162" t="s">
        <v>545</v>
      </c>
      <c r="D86" s="195" t="s">
        <v>374</v>
      </c>
      <c r="E86" s="271">
        <v>920</v>
      </c>
      <c r="F86" s="204">
        <v>893</v>
      </c>
      <c r="G86" s="204">
        <v>925</v>
      </c>
      <c r="H86" s="204">
        <v>593</v>
      </c>
    </row>
    <row r="87" spans="2:17" ht="40.5">
      <c r="B87" s="203" t="s">
        <v>546</v>
      </c>
      <c r="C87" s="162" t="s">
        <v>547</v>
      </c>
      <c r="D87" s="195" t="s">
        <v>374</v>
      </c>
      <c r="E87" s="271">
        <v>14130</v>
      </c>
      <c r="F87" s="204">
        <v>12309</v>
      </c>
      <c r="G87" s="197">
        <v>10646</v>
      </c>
      <c r="H87" s="197">
        <v>13385</v>
      </c>
    </row>
    <row r="88" spans="2:17" ht="40.5">
      <c r="B88" s="203" t="s">
        <v>548</v>
      </c>
      <c r="C88" s="162" t="s">
        <v>549</v>
      </c>
      <c r="D88" s="195" t="s">
        <v>374</v>
      </c>
      <c r="E88" s="271">
        <v>22743</v>
      </c>
      <c r="F88" s="204">
        <v>25968</v>
      </c>
      <c r="G88" s="204">
        <v>12744</v>
      </c>
      <c r="H88" s="204">
        <v>6067</v>
      </c>
    </row>
    <row r="89" spans="2:17" ht="54">
      <c r="B89" s="199" t="s">
        <v>550</v>
      </c>
      <c r="C89" s="202" t="s">
        <v>646</v>
      </c>
      <c r="D89" s="200" t="s">
        <v>374</v>
      </c>
      <c r="E89" s="248">
        <f>E85+E86+E87+E88</f>
        <v>37930</v>
      </c>
      <c r="F89" s="185">
        <f>F85+F86+F87+F88</f>
        <v>39297</v>
      </c>
      <c r="G89" s="185">
        <f t="shared" ref="G89:H89" si="11">G85+G86+G87+G88</f>
        <v>24421</v>
      </c>
      <c r="H89" s="185">
        <f t="shared" si="11"/>
        <v>20172</v>
      </c>
      <c r="I89" s="136"/>
      <c r="J89" s="136"/>
      <c r="K89" s="97"/>
    </row>
    <row r="90" spans="2:17">
      <c r="B90" s="203" t="s">
        <v>647</v>
      </c>
      <c r="C90" s="194" t="s">
        <v>553</v>
      </c>
      <c r="D90" s="195" t="s">
        <v>357</v>
      </c>
      <c r="E90" s="272">
        <f>E85/E72</f>
        <v>2.1785660900622405E-3</v>
      </c>
      <c r="F90" s="205">
        <f>F85/F72</f>
        <v>1.7727303816674554E-3</v>
      </c>
      <c r="G90" s="205">
        <f>G85/G72</f>
        <v>1.7042266428503672E-3</v>
      </c>
      <c r="H90" s="205">
        <f>H85/H72</f>
        <v>1.9865260352225143E-3</v>
      </c>
      <c r="I90" s="142"/>
      <c r="J90" s="142"/>
      <c r="K90" s="97"/>
    </row>
    <row r="91" spans="2:17">
      <c r="B91" s="175" t="s">
        <v>648</v>
      </c>
      <c r="C91" s="194" t="s">
        <v>553</v>
      </c>
      <c r="D91" s="206" t="s">
        <v>357</v>
      </c>
      <c r="E91" s="272">
        <f>E86/E72</f>
        <v>1.4629786882169789E-2</v>
      </c>
      <c r="F91" s="205">
        <f>F86/F72</f>
        <v>1.2464946699441242E-2</v>
      </c>
      <c r="G91" s="205">
        <f>G86/G72</f>
        <v>1.4871789100345185E-2</v>
      </c>
      <c r="H91" s="205">
        <f>H86/H72</f>
        <v>9.2756688101334733E-3</v>
      </c>
    </row>
    <row r="92" spans="2:17">
      <c r="B92" s="175" t="s">
        <v>649</v>
      </c>
      <c r="C92" s="194" t="s">
        <v>553</v>
      </c>
      <c r="D92" s="206" t="s">
        <v>357</v>
      </c>
      <c r="E92" s="272">
        <f>E89/E72</f>
        <v>0.60316067004423923</v>
      </c>
      <c r="F92" s="205">
        <f>F89/F72</f>
        <v>0.54852744731012593</v>
      </c>
      <c r="G92" s="205">
        <f>G89/G72</f>
        <v>0.39263130985895112</v>
      </c>
      <c r="H92" s="205">
        <f>H89/H72</f>
        <v>0.31552915891739025</v>
      </c>
    </row>
    <row r="93" spans="2:17" ht="17.5">
      <c r="B93" s="253" t="s">
        <v>556</v>
      </c>
      <c r="C93" s="231"/>
      <c r="D93" s="230"/>
      <c r="E93" s="248"/>
      <c r="F93" s="248"/>
      <c r="G93" s="248"/>
      <c r="H93" s="248"/>
    </row>
    <row r="94" spans="2:17" ht="14.15" customHeight="1">
      <c r="B94" s="222" t="s">
        <v>377</v>
      </c>
      <c r="C94" s="208" t="s">
        <v>558</v>
      </c>
      <c r="D94" s="195" t="s">
        <v>374</v>
      </c>
      <c r="E94" s="270">
        <f>E68+E70</f>
        <v>17307</v>
      </c>
      <c r="F94" s="209">
        <f>F68+F70</f>
        <v>17929.400000000001</v>
      </c>
      <c r="G94" s="209">
        <f>G68+G70</f>
        <v>14160.3</v>
      </c>
      <c r="H94" s="209">
        <f>H68+H70</f>
        <v>16099</v>
      </c>
    </row>
    <row r="95" spans="2:17">
      <c r="B95" s="222" t="s">
        <v>650</v>
      </c>
      <c r="C95" s="194" t="s">
        <v>560</v>
      </c>
      <c r="D95" s="195" t="s">
        <v>374</v>
      </c>
      <c r="E95" s="273">
        <v>500</v>
      </c>
      <c r="F95" s="210">
        <v>531</v>
      </c>
      <c r="G95" s="210">
        <v>421</v>
      </c>
      <c r="H95" s="210">
        <v>221</v>
      </c>
    </row>
    <row r="96" spans="2:17">
      <c r="B96" s="222" t="s">
        <v>651</v>
      </c>
      <c r="C96" s="194" t="s">
        <v>562</v>
      </c>
      <c r="D96" s="195" t="s">
        <v>374</v>
      </c>
      <c r="E96" s="273">
        <v>12438</v>
      </c>
      <c r="F96" s="210">
        <v>11970</v>
      </c>
      <c r="G96" s="214">
        <v>10278</v>
      </c>
      <c r="H96" s="214">
        <v>11791</v>
      </c>
    </row>
    <row r="97" spans="2:24">
      <c r="B97" s="191" t="s">
        <v>376</v>
      </c>
      <c r="C97" s="194" t="s">
        <v>564</v>
      </c>
      <c r="D97" s="195" t="s">
        <v>374</v>
      </c>
      <c r="E97" s="248">
        <f>E94-E95-E96</f>
        <v>4369</v>
      </c>
      <c r="F97" s="212">
        <f t="shared" ref="F97:H97" si="12">F94-F95-F96</f>
        <v>5428.4000000000015</v>
      </c>
      <c r="G97" s="212">
        <f t="shared" si="12"/>
        <v>3461.2999999999993</v>
      </c>
      <c r="H97" s="212">
        <f t="shared" si="12"/>
        <v>4087</v>
      </c>
    </row>
    <row r="98" spans="2:24">
      <c r="B98" s="534"/>
      <c r="C98" s="147"/>
      <c r="D98" s="148"/>
      <c r="E98" s="149"/>
      <c r="F98" s="149"/>
      <c r="G98" s="149"/>
      <c r="H98" s="149"/>
    </row>
    <row r="99" spans="2:24" ht="19.5">
      <c r="B99" s="250" t="s">
        <v>565</v>
      </c>
      <c r="C99" s="251" t="s">
        <v>616</v>
      </c>
      <c r="D99" s="267" t="s">
        <v>426</v>
      </c>
      <c r="E99" s="252" t="s">
        <v>427</v>
      </c>
      <c r="F99" s="276" t="s">
        <v>412</v>
      </c>
      <c r="G99" s="277" t="s">
        <v>406</v>
      </c>
      <c r="H99" s="277" t="s">
        <v>409</v>
      </c>
    </row>
    <row r="100" spans="2:24" ht="46.5">
      <c r="B100" s="195" t="s">
        <v>566</v>
      </c>
      <c r="C100" s="168" t="s">
        <v>567</v>
      </c>
      <c r="D100" s="195" t="s">
        <v>374</v>
      </c>
      <c r="E100" s="268">
        <v>336</v>
      </c>
      <c r="F100" s="213">
        <v>358</v>
      </c>
      <c r="G100" s="213">
        <v>338</v>
      </c>
      <c r="H100" s="213">
        <v>320</v>
      </c>
    </row>
    <row r="101" spans="2:24" ht="46.5">
      <c r="B101" s="195" t="s">
        <v>568</v>
      </c>
      <c r="C101" s="168" t="s">
        <v>569</v>
      </c>
      <c r="D101" s="195" t="s">
        <v>374</v>
      </c>
      <c r="E101" s="268">
        <v>31</v>
      </c>
      <c r="F101" s="213">
        <v>73</v>
      </c>
      <c r="G101" s="213">
        <v>42</v>
      </c>
      <c r="H101" s="213">
        <v>16</v>
      </c>
    </row>
    <row r="102" spans="2:24" ht="54">
      <c r="B102" s="195" t="s">
        <v>382</v>
      </c>
      <c r="C102" s="168" t="s">
        <v>570</v>
      </c>
      <c r="D102" s="195" t="s">
        <v>374</v>
      </c>
      <c r="E102" s="268">
        <v>42</v>
      </c>
      <c r="F102" s="213">
        <v>50</v>
      </c>
      <c r="G102" s="213">
        <v>39</v>
      </c>
      <c r="H102" s="213">
        <v>47</v>
      </c>
    </row>
    <row r="103" spans="2:24" ht="16.5">
      <c r="B103" s="195" t="s">
        <v>571</v>
      </c>
      <c r="C103" s="168" t="s">
        <v>572</v>
      </c>
      <c r="D103" s="195" t="s">
        <v>357</v>
      </c>
      <c r="E103" s="269">
        <v>0.86</v>
      </c>
      <c r="F103" s="395">
        <v>0.85</v>
      </c>
      <c r="G103" s="396">
        <v>0.85</v>
      </c>
      <c r="H103" s="396">
        <v>0.82</v>
      </c>
    </row>
    <row r="104" spans="2:24" ht="16.5">
      <c r="B104" s="195" t="s">
        <v>573</v>
      </c>
      <c r="C104" s="168" t="s">
        <v>574</v>
      </c>
      <c r="D104" s="195" t="s">
        <v>357</v>
      </c>
      <c r="E104" s="269">
        <v>0.36</v>
      </c>
      <c r="F104" s="395">
        <v>0.34</v>
      </c>
      <c r="G104" s="396">
        <v>0.36</v>
      </c>
      <c r="H104" s="396">
        <v>0.32</v>
      </c>
    </row>
    <row r="105" spans="2:24">
      <c r="B105" s="195" t="s">
        <v>385</v>
      </c>
      <c r="C105" s="168" t="s">
        <v>575</v>
      </c>
      <c r="D105" s="195" t="s">
        <v>357</v>
      </c>
      <c r="E105" s="269">
        <v>0.56999999999999995</v>
      </c>
      <c r="F105" s="395">
        <v>0.56000000000000005</v>
      </c>
      <c r="G105" s="396">
        <v>0.54</v>
      </c>
      <c r="H105" s="396">
        <v>0.53</v>
      </c>
    </row>
    <row r="106" spans="2:24">
      <c r="B106" s="127"/>
      <c r="C106" s="150"/>
      <c r="D106" s="65"/>
      <c r="E106" s="151"/>
      <c r="F106" s="152"/>
      <c r="G106" s="152"/>
      <c r="H106" s="65"/>
    </row>
    <row r="107" spans="2:24" ht="24.5">
      <c r="B107" s="130" t="s">
        <v>576</v>
      </c>
      <c r="C107" s="114"/>
      <c r="D107" s="115"/>
      <c r="E107" s="115"/>
      <c r="F107" s="115"/>
      <c r="G107" s="1357"/>
      <c r="H107" s="1357"/>
      <c r="I107" s="1357"/>
      <c r="J107" s="1357"/>
      <c r="K107" s="1357"/>
      <c r="L107" s="1357"/>
      <c r="M107" s="1357"/>
      <c r="N107" s="1357"/>
      <c r="O107" s="1357"/>
    </row>
    <row r="108" spans="2:24">
      <c r="B108" s="127"/>
      <c r="C108" s="126"/>
      <c r="D108" s="127"/>
      <c r="E108" s="127"/>
      <c r="F108" s="127"/>
      <c r="G108" s="128"/>
      <c r="H108" s="128"/>
      <c r="I108" s="128"/>
      <c r="J108" s="129"/>
      <c r="K108" s="129"/>
      <c r="L108" s="129"/>
      <c r="M108" s="108"/>
      <c r="N108" s="108"/>
      <c r="O108" s="108"/>
      <c r="P108" s="108"/>
      <c r="Q108" s="108"/>
      <c r="R108" s="108"/>
      <c r="S108" s="108"/>
      <c r="T108" s="108"/>
      <c r="U108" s="108"/>
      <c r="V108" s="108"/>
      <c r="W108" s="108"/>
      <c r="X108" s="108"/>
    </row>
    <row r="109" spans="2:24" ht="24">
      <c r="B109" s="256" t="s">
        <v>577</v>
      </c>
      <c r="C109" s="254" t="s">
        <v>616</v>
      </c>
      <c r="D109" s="267" t="s">
        <v>426</v>
      </c>
      <c r="E109" s="1434" t="s">
        <v>427</v>
      </c>
      <c r="F109" s="1434"/>
      <c r="G109" s="1434"/>
      <c r="H109" s="1371" t="s">
        <v>412</v>
      </c>
      <c r="I109" s="1371"/>
      <c r="J109" s="1371"/>
      <c r="K109" s="1371" t="s">
        <v>406</v>
      </c>
      <c r="L109" s="1371"/>
      <c r="M109" s="1371"/>
      <c r="N109" s="258" t="s">
        <v>409</v>
      </c>
      <c r="O109" s="280" t="str">
        <f>I65</f>
        <v>Performance against prior year</v>
      </c>
      <c r="P109" s="108"/>
      <c r="T109" s="108"/>
      <c r="U109" s="108"/>
      <c r="V109" s="108"/>
      <c r="W109" s="108"/>
    </row>
    <row r="110" spans="2:24" ht="27">
      <c r="B110" s="206"/>
      <c r="C110" s="216"/>
      <c r="D110" s="217"/>
      <c r="E110" s="261" t="s">
        <v>428</v>
      </c>
      <c r="F110" s="261" t="s">
        <v>429</v>
      </c>
      <c r="G110" s="261" t="s">
        <v>430</v>
      </c>
      <c r="H110" s="215" t="s">
        <v>428</v>
      </c>
      <c r="I110" s="215" t="s">
        <v>429</v>
      </c>
      <c r="J110" s="218" t="s">
        <v>430</v>
      </c>
      <c r="K110" s="215" t="s">
        <v>428</v>
      </c>
      <c r="L110" s="215" t="s">
        <v>429</v>
      </c>
      <c r="M110" s="218" t="s">
        <v>430</v>
      </c>
      <c r="N110" s="215" t="s">
        <v>428</v>
      </c>
      <c r="O110" s="281" t="s">
        <v>428</v>
      </c>
      <c r="P110" s="108"/>
      <c r="T110" s="108"/>
      <c r="U110" s="108"/>
      <c r="V110" s="108"/>
      <c r="W110" s="108"/>
    </row>
    <row r="111" spans="2:24" ht="67.5">
      <c r="B111" s="217" t="s">
        <v>359</v>
      </c>
      <c r="C111" s="219" t="s">
        <v>578</v>
      </c>
      <c r="D111" s="220" t="s">
        <v>360</v>
      </c>
      <c r="E111" s="262">
        <f t="shared" ref="E111:N111" si="13">E127/1000</f>
        <v>1185612.237</v>
      </c>
      <c r="F111" s="262">
        <f t="shared" si="13"/>
        <v>337487.755</v>
      </c>
      <c r="G111" s="262">
        <f t="shared" si="13"/>
        <v>848124.48199999996</v>
      </c>
      <c r="H111" s="221">
        <f t="shared" si="13"/>
        <v>1241805.7790000001</v>
      </c>
      <c r="I111" s="221">
        <f t="shared" si="13"/>
        <v>373347.38799999998</v>
      </c>
      <c r="J111" s="221">
        <f t="shared" si="13"/>
        <v>868458.39099999995</v>
      </c>
      <c r="K111" s="221">
        <f t="shared" si="13"/>
        <v>1168337.6599999999</v>
      </c>
      <c r="L111" s="221">
        <f t="shared" si="13"/>
        <v>389386.26799999998</v>
      </c>
      <c r="M111" s="221">
        <f t="shared" si="13"/>
        <v>778951.39199999999</v>
      </c>
      <c r="N111" s="221">
        <f t="shared" si="13"/>
        <v>1202121.1410000001</v>
      </c>
      <c r="O111" s="282">
        <f>(E111-H111)/H111</f>
        <v>-4.5251474063240066E-2</v>
      </c>
      <c r="P111" s="108"/>
      <c r="T111" s="108"/>
      <c r="U111" s="108"/>
      <c r="V111" s="108"/>
      <c r="W111" s="108"/>
    </row>
    <row r="112" spans="2:24">
      <c r="B112" s="217" t="s">
        <v>579</v>
      </c>
      <c r="C112" s="530" t="s">
        <v>974</v>
      </c>
      <c r="D112" s="222" t="s">
        <v>581</v>
      </c>
      <c r="E112" s="263">
        <v>10.96</v>
      </c>
      <c r="F112" s="264">
        <v>74.2</v>
      </c>
      <c r="G112" s="264">
        <v>8.1999999999999993</v>
      </c>
      <c r="H112" s="223">
        <v>11.3</v>
      </c>
      <c r="I112" s="223">
        <v>70.7</v>
      </c>
      <c r="J112" s="223">
        <v>8.3000000000000007</v>
      </c>
      <c r="K112" s="223">
        <v>10.98</v>
      </c>
      <c r="L112" s="223">
        <v>39.56</v>
      </c>
      <c r="M112" s="223">
        <v>8.06</v>
      </c>
      <c r="N112" s="223">
        <v>10.61</v>
      </c>
      <c r="O112" s="282">
        <f>(E112-H112)/H112</f>
        <v>-3.0088495575221225E-2</v>
      </c>
      <c r="P112" s="108"/>
      <c r="T112" s="108"/>
      <c r="U112" s="108"/>
      <c r="V112" s="108"/>
      <c r="W112" s="108"/>
    </row>
    <row r="113" spans="2:22">
      <c r="B113" s="153"/>
      <c r="C113" s="126"/>
      <c r="D113" s="127"/>
      <c r="E113" s="531"/>
      <c r="F113" s="127"/>
      <c r="G113" s="128"/>
      <c r="H113" s="128"/>
      <c r="I113" s="128"/>
      <c r="J113" s="129"/>
      <c r="K113" s="129"/>
      <c r="L113" s="129"/>
      <c r="M113" s="108"/>
      <c r="N113" s="108"/>
      <c r="O113" s="108"/>
      <c r="P113" s="108"/>
      <c r="T113" s="108"/>
      <c r="U113" s="108"/>
      <c r="V113" s="108"/>
    </row>
    <row r="114" spans="2:22">
      <c r="B114" s="127"/>
      <c r="C114" s="126"/>
      <c r="D114" s="127"/>
      <c r="E114" s="127"/>
      <c r="F114" s="127"/>
      <c r="G114" s="128"/>
      <c r="H114" s="128"/>
      <c r="I114" s="128"/>
      <c r="J114" s="129"/>
      <c r="K114" s="129"/>
      <c r="L114" s="129"/>
      <c r="M114" s="108"/>
      <c r="N114" s="108"/>
      <c r="O114" s="108"/>
      <c r="P114" s="108"/>
      <c r="T114" s="108"/>
      <c r="U114" s="108"/>
      <c r="V114" s="108"/>
    </row>
    <row r="115" spans="2:22" ht="19.5">
      <c r="B115" s="257" t="s">
        <v>582</v>
      </c>
      <c r="C115" s="254" t="s">
        <v>616</v>
      </c>
      <c r="D115" s="267" t="s">
        <v>426</v>
      </c>
      <c r="E115" s="1365" t="s">
        <v>427</v>
      </c>
      <c r="F115" s="1366"/>
      <c r="G115" s="1367"/>
      <c r="H115" s="1368" t="s">
        <v>412</v>
      </c>
      <c r="I115" s="1369"/>
      <c r="J115" s="1370"/>
      <c r="K115" s="1371" t="s">
        <v>406</v>
      </c>
      <c r="L115" s="1371"/>
      <c r="M115" s="1371"/>
      <c r="N115" s="258" t="s">
        <v>409</v>
      </c>
      <c r="O115" s="108"/>
      <c r="S115" s="108"/>
      <c r="T115" s="108"/>
      <c r="U115" s="108"/>
      <c r="V115" s="108"/>
    </row>
    <row r="116" spans="2:22" ht="28" customHeight="1">
      <c r="B116" s="224"/>
      <c r="C116" s="224"/>
      <c r="D116" s="224"/>
      <c r="E116" s="259" t="s">
        <v>428</v>
      </c>
      <c r="F116" s="259" t="s">
        <v>429</v>
      </c>
      <c r="G116" s="259" t="s">
        <v>430</v>
      </c>
      <c r="H116" s="225" t="s">
        <v>428</v>
      </c>
      <c r="I116" s="225" t="s">
        <v>429</v>
      </c>
      <c r="J116" s="226" t="s">
        <v>430</v>
      </c>
      <c r="K116" s="225" t="s">
        <v>428</v>
      </c>
      <c r="L116" s="225" t="s">
        <v>429</v>
      </c>
      <c r="M116" s="226" t="s">
        <v>430</v>
      </c>
      <c r="N116" s="225" t="s">
        <v>428</v>
      </c>
      <c r="O116" s="108"/>
      <c r="S116" s="108"/>
      <c r="T116" s="108"/>
      <c r="U116" s="108"/>
      <c r="V116" s="108"/>
    </row>
    <row r="117" spans="2:22" ht="28" customHeight="1">
      <c r="B117" s="195" t="s">
        <v>587</v>
      </c>
      <c r="C117" s="168" t="s">
        <v>652</v>
      </c>
      <c r="D117" s="195" t="s">
        <v>589</v>
      </c>
      <c r="E117" s="260">
        <f t="shared" ref="E117:F119" si="14">E127*0.0036</f>
        <v>4268204.0532</v>
      </c>
      <c r="F117" s="260">
        <f t="shared" si="14"/>
        <v>1214955.9180000001</v>
      </c>
      <c r="G117" s="260">
        <f t="shared" ref="G117:G125" si="15">E117-F117</f>
        <v>3053248.1351999999</v>
      </c>
      <c r="H117" s="227">
        <f t="shared" ref="H117:N123" si="16">H127*0.0036</f>
        <v>4470500.8043999998</v>
      </c>
      <c r="I117" s="227">
        <f t="shared" si="16"/>
        <v>1344050.5967999999</v>
      </c>
      <c r="J117" s="227">
        <f t="shared" si="16"/>
        <v>3126450.2075999998</v>
      </c>
      <c r="K117" s="213">
        <f t="shared" si="16"/>
        <v>4206015.5760000004</v>
      </c>
      <c r="L117" s="227">
        <f t="shared" si="16"/>
        <v>1401790.5648000001</v>
      </c>
      <c r="M117" s="227">
        <f t="shared" si="16"/>
        <v>2804225.0112000001</v>
      </c>
      <c r="N117" s="213">
        <f t="shared" si="16"/>
        <v>4327636.1075999998</v>
      </c>
      <c r="O117" s="108"/>
      <c r="S117" s="108"/>
      <c r="T117" s="108"/>
      <c r="U117" s="108"/>
      <c r="V117" s="108"/>
    </row>
    <row r="118" spans="2:22" ht="28" customHeight="1">
      <c r="B118" s="195" t="s">
        <v>590</v>
      </c>
      <c r="C118" s="168" t="s">
        <v>591</v>
      </c>
      <c r="D118" s="195" t="s">
        <v>589</v>
      </c>
      <c r="E118" s="260">
        <f t="shared" si="14"/>
        <v>1743716.4912</v>
      </c>
      <c r="F118" s="260">
        <f t="shared" si="14"/>
        <v>470103.46919999999</v>
      </c>
      <c r="G118" s="260">
        <f t="shared" si="15"/>
        <v>1273613.0220000001</v>
      </c>
      <c r="H118" s="227">
        <f t="shared" si="16"/>
        <v>1821488.5799999998</v>
      </c>
      <c r="I118" s="227">
        <f t="shared" si="16"/>
        <v>497308.47119999997</v>
      </c>
      <c r="J118" s="227">
        <f t="shared" si="16"/>
        <v>1324180.1088</v>
      </c>
      <c r="K118" s="213">
        <f t="shared" si="16"/>
        <v>1733498.5031999999</v>
      </c>
      <c r="L118" s="227">
        <f t="shared" si="16"/>
        <v>540267.77159999998</v>
      </c>
      <c r="M118" s="227">
        <f t="shared" si="16"/>
        <v>1193230.7316000001</v>
      </c>
      <c r="N118" s="213">
        <f t="shared" si="16"/>
        <v>1822669.8947999999</v>
      </c>
      <c r="O118" s="108"/>
      <c r="S118" s="108"/>
      <c r="T118" s="108"/>
      <c r="U118" s="108"/>
      <c r="V118" s="108"/>
    </row>
    <row r="119" spans="2:22" ht="28" customHeight="1">
      <c r="B119" s="195" t="s">
        <v>592</v>
      </c>
      <c r="C119" s="168" t="s">
        <v>593</v>
      </c>
      <c r="D119" s="195" t="s">
        <v>589</v>
      </c>
      <c r="E119" s="260">
        <f t="shared" si="14"/>
        <v>2229315.804</v>
      </c>
      <c r="F119" s="260">
        <f t="shared" si="14"/>
        <v>779118.82920000004</v>
      </c>
      <c r="G119" s="260">
        <f t="shared" si="15"/>
        <v>1450196.9748</v>
      </c>
      <c r="H119" s="227">
        <f t="shared" si="16"/>
        <v>2303934.7752</v>
      </c>
      <c r="I119" s="227">
        <f t="shared" si="16"/>
        <v>882408.96360000002</v>
      </c>
      <c r="J119" s="227">
        <f t="shared" si="16"/>
        <v>1421525.8115999999</v>
      </c>
      <c r="K119" s="213">
        <f t="shared" si="16"/>
        <v>2164571.8560000001</v>
      </c>
      <c r="L119" s="227">
        <f t="shared" si="16"/>
        <v>912788.21880000003</v>
      </c>
      <c r="M119" s="227">
        <f t="shared" si="16"/>
        <v>1251783.6372</v>
      </c>
      <c r="N119" s="213">
        <f t="shared" si="16"/>
        <v>2201419.2347999997</v>
      </c>
      <c r="O119" s="108"/>
      <c r="S119" s="108"/>
      <c r="T119" s="108"/>
      <c r="U119" s="108"/>
      <c r="V119" s="108"/>
    </row>
    <row r="120" spans="2:22" ht="28" customHeight="1">
      <c r="B120" s="195" t="s">
        <v>594</v>
      </c>
      <c r="C120" s="168" t="s">
        <v>653</v>
      </c>
      <c r="D120" s="195" t="s">
        <v>589</v>
      </c>
      <c r="E120" s="260">
        <f>986948044*0.0036</f>
        <v>3553012.9583999999</v>
      </c>
      <c r="F120" s="260">
        <f t="shared" ref="F120:F125" si="17">F130*0.0036</f>
        <v>851885.96039999998</v>
      </c>
      <c r="G120" s="260">
        <f t="shared" si="15"/>
        <v>2701126.9979999997</v>
      </c>
      <c r="H120" s="227">
        <f t="shared" si="16"/>
        <v>3883081.4208</v>
      </c>
      <c r="I120" s="227">
        <f t="shared" si="16"/>
        <v>953590.43519999995</v>
      </c>
      <c r="J120" s="227">
        <f t="shared" si="16"/>
        <v>2929490.9855999998</v>
      </c>
      <c r="K120" s="213">
        <f t="shared" si="16"/>
        <v>3704763.6252000001</v>
      </c>
      <c r="L120" s="227">
        <f t="shared" si="16"/>
        <v>986494.08959999995</v>
      </c>
      <c r="M120" s="227">
        <f t="shared" si="16"/>
        <v>2718269.5356000001</v>
      </c>
      <c r="N120" s="213">
        <f t="shared" si="16"/>
        <v>3857710.6727999998</v>
      </c>
      <c r="O120" s="108"/>
      <c r="S120" s="108"/>
      <c r="T120" s="108"/>
      <c r="U120" s="108"/>
      <c r="V120" s="108"/>
    </row>
    <row r="121" spans="2:22" ht="28" customHeight="1">
      <c r="B121" s="329" t="s">
        <v>596</v>
      </c>
      <c r="C121" s="168" t="s">
        <v>597</v>
      </c>
      <c r="D121" s="195" t="s">
        <v>589</v>
      </c>
      <c r="E121" s="260">
        <f>E131*0.0036</f>
        <v>2475308.5128000001</v>
      </c>
      <c r="F121" s="260">
        <f t="shared" si="17"/>
        <v>802475.77679999999</v>
      </c>
      <c r="G121" s="260">
        <f t="shared" si="15"/>
        <v>1672832.736</v>
      </c>
      <c r="H121" s="227">
        <f t="shared" si="16"/>
        <v>2605562.1683999998</v>
      </c>
      <c r="I121" s="227">
        <f t="shared" si="16"/>
        <v>904064.82120000001</v>
      </c>
      <c r="J121" s="227">
        <f t="shared" si="16"/>
        <v>1701497.3472</v>
      </c>
      <c r="K121" s="213">
        <f t="shared" si="16"/>
        <v>2460139.3043999998</v>
      </c>
      <c r="L121" s="227">
        <f t="shared" si="16"/>
        <v>936169.89480000001</v>
      </c>
      <c r="M121" s="227">
        <f t="shared" si="16"/>
        <v>1523969.4095999999</v>
      </c>
      <c r="N121" s="213">
        <f t="shared" si="16"/>
        <v>2480339.4839999997</v>
      </c>
      <c r="O121" s="108"/>
      <c r="S121" s="108"/>
      <c r="T121" s="108"/>
      <c r="U121" s="108"/>
      <c r="V121" s="108"/>
    </row>
    <row r="122" spans="2:22" ht="28" customHeight="1">
      <c r="B122" s="329" t="s">
        <v>598</v>
      </c>
      <c r="C122" s="168" t="s">
        <v>599</v>
      </c>
      <c r="D122" s="195" t="s">
        <v>589</v>
      </c>
      <c r="E122" s="260">
        <f>E132*0.0036</f>
        <v>931420.57679999992</v>
      </c>
      <c r="F122" s="260">
        <f t="shared" si="17"/>
        <v>23946.552</v>
      </c>
      <c r="G122" s="260">
        <f t="shared" si="15"/>
        <v>907474.0247999999</v>
      </c>
      <c r="H122" s="227">
        <f t="shared" si="16"/>
        <v>1127469.6576</v>
      </c>
      <c r="I122" s="227">
        <f t="shared" si="16"/>
        <v>20683.699199999999</v>
      </c>
      <c r="J122" s="227">
        <f t="shared" si="16"/>
        <v>1106785.9583999999</v>
      </c>
      <c r="K122" s="213">
        <f t="shared" si="16"/>
        <v>1117471.3056000001</v>
      </c>
      <c r="L122" s="227">
        <f t="shared" si="16"/>
        <v>27600.84</v>
      </c>
      <c r="M122" s="227">
        <f t="shared" si="16"/>
        <v>1089870.4656</v>
      </c>
      <c r="N122" s="213">
        <f t="shared" si="16"/>
        <v>1257125.4683999999</v>
      </c>
      <c r="O122" s="108"/>
      <c r="S122" s="108"/>
      <c r="T122" s="108"/>
      <c r="U122" s="108"/>
      <c r="V122" s="108"/>
    </row>
    <row r="123" spans="2:22" ht="28" customHeight="1">
      <c r="B123" s="330" t="s">
        <v>600</v>
      </c>
      <c r="C123" s="168" t="s">
        <v>601</v>
      </c>
      <c r="D123" s="195" t="s">
        <v>589</v>
      </c>
      <c r="E123" s="260">
        <f>E133*0.0036</f>
        <v>128724.8796</v>
      </c>
      <c r="F123" s="260">
        <f t="shared" si="17"/>
        <v>19250.449199999999</v>
      </c>
      <c r="G123" s="260">
        <f t="shared" si="15"/>
        <v>109474.4304</v>
      </c>
      <c r="H123" s="227">
        <f t="shared" si="16"/>
        <v>113543.96399999999</v>
      </c>
      <c r="I123" s="227">
        <f t="shared" si="16"/>
        <v>14086.619999999999</v>
      </c>
      <c r="J123" s="227">
        <f t="shared" si="16"/>
        <v>99457.343999999997</v>
      </c>
      <c r="K123" s="213">
        <f t="shared" si="16"/>
        <v>112445.03879999999</v>
      </c>
      <c r="L123" s="227">
        <f t="shared" si="16"/>
        <v>21111.778728000001</v>
      </c>
      <c r="M123" s="227">
        <f t="shared" si="16"/>
        <v>91333.26007199999</v>
      </c>
      <c r="N123" s="213">
        <f t="shared" si="16"/>
        <v>120245.72039999999</v>
      </c>
      <c r="O123" s="108"/>
      <c r="S123" s="108"/>
      <c r="T123" s="108"/>
      <c r="U123" s="108"/>
      <c r="V123" s="108"/>
    </row>
    <row r="124" spans="2:22" ht="28" customHeight="1">
      <c r="B124" s="330" t="s">
        <v>602</v>
      </c>
      <c r="C124" s="168" t="s">
        <v>603</v>
      </c>
      <c r="D124" s="195" t="s">
        <v>589</v>
      </c>
      <c r="E124" s="260">
        <f>E134*0.0036</f>
        <v>17558.9928</v>
      </c>
      <c r="F124" s="260">
        <f t="shared" si="17"/>
        <v>6213.1823999999997</v>
      </c>
      <c r="G124" s="260">
        <f t="shared" ref="G124:M124" si="18">G134*0.0036</f>
        <v>11345.8104</v>
      </c>
      <c r="H124" s="227">
        <f t="shared" si="18"/>
        <v>36505.631231999992</v>
      </c>
      <c r="I124" s="227">
        <f t="shared" si="18"/>
        <v>14755.2948</v>
      </c>
      <c r="J124" s="227">
        <f t="shared" si="18"/>
        <v>21750.336431999996</v>
      </c>
      <c r="K124" s="227">
        <f t="shared" si="18"/>
        <v>14707.9746</v>
      </c>
      <c r="L124" s="227">
        <f t="shared" si="18"/>
        <v>1611.576</v>
      </c>
      <c r="M124" s="227">
        <f t="shared" si="18"/>
        <v>13096.3986</v>
      </c>
      <c r="N124" s="227" t="s">
        <v>604</v>
      </c>
      <c r="O124" s="108"/>
      <c r="S124" s="108"/>
      <c r="T124" s="108"/>
      <c r="U124" s="108"/>
      <c r="V124" s="108"/>
    </row>
    <row r="125" spans="2:22" ht="28" customHeight="1">
      <c r="B125" s="228" t="s">
        <v>605</v>
      </c>
      <c r="C125" s="167" t="s">
        <v>606</v>
      </c>
      <c r="D125" s="195" t="s">
        <v>589</v>
      </c>
      <c r="E125" s="260">
        <f>E135*0.0036</f>
        <v>715191.09479999996</v>
      </c>
      <c r="F125" s="260">
        <f t="shared" si="17"/>
        <v>363069.95759999997</v>
      </c>
      <c r="G125" s="260">
        <f t="shared" si="15"/>
        <v>352121.1372</v>
      </c>
      <c r="H125" s="227">
        <f t="shared" ref="H125:N125" si="19">H135*0.0036</f>
        <v>587419.38359999994</v>
      </c>
      <c r="I125" s="227">
        <f t="shared" si="19"/>
        <v>390460.16159999999</v>
      </c>
      <c r="J125" s="227">
        <f t="shared" si="19"/>
        <v>196959.22200000001</v>
      </c>
      <c r="K125" s="213">
        <f t="shared" si="19"/>
        <v>501251.95439999999</v>
      </c>
      <c r="L125" s="227">
        <f t="shared" si="19"/>
        <v>415296.47519999999</v>
      </c>
      <c r="M125" s="227">
        <f t="shared" si="19"/>
        <v>85955.479200000002</v>
      </c>
      <c r="N125" s="213">
        <f t="shared" si="19"/>
        <v>469925.43479999999</v>
      </c>
      <c r="O125" s="108"/>
      <c r="S125" s="108"/>
      <c r="T125" s="108"/>
      <c r="U125" s="108"/>
      <c r="V125" s="108"/>
    </row>
    <row r="126" spans="2:22">
      <c r="R126" s="13"/>
    </row>
    <row r="127" spans="2:22" ht="67.5">
      <c r="B127" s="195" t="s">
        <v>587</v>
      </c>
      <c r="C127" s="168" t="s">
        <v>607</v>
      </c>
      <c r="D127" s="195" t="s">
        <v>362</v>
      </c>
      <c r="E127" s="260">
        <v>1185612237</v>
      </c>
      <c r="F127" s="260">
        <v>337487755</v>
      </c>
      <c r="G127" s="260">
        <f>E127-F127</f>
        <v>848124482</v>
      </c>
      <c r="H127" s="227">
        <v>1241805779</v>
      </c>
      <c r="I127" s="227">
        <v>373347388</v>
      </c>
      <c r="J127" s="227">
        <f t="shared" ref="J127:J135" si="20">H127-I127</f>
        <v>868458391</v>
      </c>
      <c r="K127" s="213">
        <v>1168337660</v>
      </c>
      <c r="L127" s="227">
        <v>389386268</v>
      </c>
      <c r="M127" s="227">
        <f t="shared" ref="M127:M135" si="21">K127-L127</f>
        <v>778951392</v>
      </c>
      <c r="N127" s="213">
        <v>1202121141</v>
      </c>
      <c r="O127" s="108"/>
      <c r="P127" s="535" t="s">
        <v>654</v>
      </c>
      <c r="Q127" s="468">
        <f>E132/1000</f>
        <v>258727.93799999999</v>
      </c>
      <c r="R127" s="469">
        <f t="shared" ref="R127:R133" si="22">Q127/$Q$135</f>
        <v>0.21822306628383506</v>
      </c>
      <c r="S127" s="108"/>
      <c r="T127" s="108"/>
      <c r="U127" s="108"/>
      <c r="V127" s="108"/>
    </row>
    <row r="128" spans="2:22" ht="94.5">
      <c r="B128" s="195" t="s">
        <v>590</v>
      </c>
      <c r="C128" s="168" t="s">
        <v>608</v>
      </c>
      <c r="D128" s="195" t="s">
        <v>362</v>
      </c>
      <c r="E128" s="260">
        <v>484365692</v>
      </c>
      <c r="F128" s="260">
        <v>130584297</v>
      </c>
      <c r="G128" s="260">
        <f>E128-F128</f>
        <v>353781395</v>
      </c>
      <c r="H128" s="227">
        <v>505969050</v>
      </c>
      <c r="I128" s="227">
        <v>138141242</v>
      </c>
      <c r="J128" s="227">
        <f t="shared" si="20"/>
        <v>367827808</v>
      </c>
      <c r="K128" s="213">
        <v>481527362</v>
      </c>
      <c r="L128" s="227">
        <v>150074381</v>
      </c>
      <c r="M128" s="227">
        <f t="shared" si="21"/>
        <v>331452981</v>
      </c>
      <c r="N128" s="213">
        <v>506297193</v>
      </c>
      <c r="O128" s="108"/>
      <c r="P128" s="535" t="s">
        <v>655</v>
      </c>
      <c r="Q128" s="468">
        <f>191804345/1000</f>
        <v>191804.345</v>
      </c>
      <c r="R128" s="469">
        <f t="shared" si="22"/>
        <v>0.16177662380033564</v>
      </c>
      <c r="S128" s="108"/>
      <c r="T128" s="108"/>
      <c r="U128" s="108"/>
      <c r="V128" s="108"/>
    </row>
    <row r="129" spans="2:25" ht="54">
      <c r="B129" s="195" t="s">
        <v>592</v>
      </c>
      <c r="C129" s="168" t="s">
        <v>609</v>
      </c>
      <c r="D129" s="195" t="s">
        <v>362</v>
      </c>
      <c r="E129" s="260">
        <v>619254390</v>
      </c>
      <c r="F129" s="260">
        <v>216421897</v>
      </c>
      <c r="G129" s="260">
        <f>E129-F129</f>
        <v>402832493</v>
      </c>
      <c r="H129" s="227">
        <v>639981882</v>
      </c>
      <c r="I129" s="227">
        <v>245113601</v>
      </c>
      <c r="J129" s="227">
        <f t="shared" si="20"/>
        <v>394868281</v>
      </c>
      <c r="K129" s="213">
        <v>601269960</v>
      </c>
      <c r="L129" s="227">
        <v>253552283</v>
      </c>
      <c r="M129" s="227">
        <f t="shared" si="21"/>
        <v>347717677</v>
      </c>
      <c r="N129" s="213">
        <v>611505343</v>
      </c>
      <c r="O129" s="108"/>
      <c r="P129" s="535" t="s">
        <v>656</v>
      </c>
      <c r="Q129" s="468">
        <f>6859848/1000</f>
        <v>6859.848</v>
      </c>
      <c r="R129" s="469">
        <f t="shared" si="22"/>
        <v>5.7859119365803987E-3</v>
      </c>
      <c r="S129" s="108"/>
      <c r="T129" s="108"/>
      <c r="U129" s="108"/>
      <c r="V129" s="108"/>
    </row>
    <row r="130" spans="2:25" ht="114.75" customHeight="1">
      <c r="B130" s="195" t="s">
        <v>594</v>
      </c>
      <c r="C130" s="168" t="s">
        <v>610</v>
      </c>
      <c r="D130" s="195" t="s">
        <v>362</v>
      </c>
      <c r="E130" s="244">
        <v>986948044</v>
      </c>
      <c r="F130" s="260">
        <v>236634989</v>
      </c>
      <c r="G130" s="260">
        <f>986948044-F130</f>
        <v>750313055</v>
      </c>
      <c r="H130" s="227">
        <v>1078633728</v>
      </c>
      <c r="I130" s="227">
        <v>264886232</v>
      </c>
      <c r="J130" s="227">
        <f t="shared" si="20"/>
        <v>813747496</v>
      </c>
      <c r="K130" s="213">
        <v>1029101007</v>
      </c>
      <c r="L130" s="227">
        <v>274026136</v>
      </c>
      <c r="M130" s="227">
        <f t="shared" si="21"/>
        <v>755074871</v>
      </c>
      <c r="N130" s="213">
        <v>1071586298</v>
      </c>
      <c r="O130" s="108"/>
      <c r="P130" s="535" t="s">
        <v>657</v>
      </c>
      <c r="Q130" s="468">
        <f>E129/1000</f>
        <v>619254.39</v>
      </c>
      <c r="R130" s="469">
        <f t="shared" si="22"/>
        <v>0.52230769061950255</v>
      </c>
      <c r="S130" s="108"/>
      <c r="T130" s="108"/>
      <c r="U130" s="108"/>
      <c r="V130" s="108"/>
    </row>
    <row r="131" spans="2:25" ht="54">
      <c r="B131" s="329" t="s">
        <v>596</v>
      </c>
      <c r="C131" s="168" t="s">
        <v>597</v>
      </c>
      <c r="D131" s="195" t="s">
        <v>362</v>
      </c>
      <c r="E131" s="260">
        <v>687585698</v>
      </c>
      <c r="F131" s="260">
        <v>222909938</v>
      </c>
      <c r="G131" s="260">
        <f>E131-F131</f>
        <v>464675760</v>
      </c>
      <c r="H131" s="227">
        <v>723767269</v>
      </c>
      <c r="I131" s="227">
        <v>251129117</v>
      </c>
      <c r="J131" s="227">
        <f t="shared" si="20"/>
        <v>472638152</v>
      </c>
      <c r="K131" s="213">
        <v>683372029</v>
      </c>
      <c r="L131" s="227">
        <v>260047193</v>
      </c>
      <c r="M131" s="227">
        <f t="shared" si="21"/>
        <v>423324836</v>
      </c>
      <c r="N131" s="213">
        <v>688983190</v>
      </c>
      <c r="O131" s="108"/>
      <c r="P131" s="535" t="s">
        <v>959</v>
      </c>
      <c r="Q131" s="468">
        <f>(E131-E129)/1000</f>
        <v>68331.308000000005</v>
      </c>
      <c r="R131" s="469">
        <f t="shared" si="22"/>
        <v>5.7633774188488099E-2</v>
      </c>
      <c r="S131" s="108"/>
      <c r="T131" s="108"/>
      <c r="U131" s="108"/>
      <c r="V131" s="108"/>
    </row>
    <row r="132" spans="2:25" ht="27">
      <c r="B132" s="329" t="s">
        <v>598</v>
      </c>
      <c r="C132" s="168" t="s">
        <v>611</v>
      </c>
      <c r="D132" s="195" t="s">
        <v>362</v>
      </c>
      <c r="E132" s="260">
        <v>258727938</v>
      </c>
      <c r="F132" s="260">
        <v>6651820</v>
      </c>
      <c r="G132" s="260">
        <f>E132-F132</f>
        <v>252076118</v>
      </c>
      <c r="H132" s="227">
        <v>313186016</v>
      </c>
      <c r="I132" s="227">
        <v>5745472</v>
      </c>
      <c r="J132" s="227">
        <f t="shared" si="20"/>
        <v>307440544</v>
      </c>
      <c r="K132" s="213">
        <v>310408696</v>
      </c>
      <c r="L132" s="227">
        <v>7666900</v>
      </c>
      <c r="M132" s="227">
        <f t="shared" si="21"/>
        <v>302741796</v>
      </c>
      <c r="N132" s="213">
        <v>349201519</v>
      </c>
      <c r="O132" s="108"/>
      <c r="P132" s="535" t="s">
        <v>658</v>
      </c>
      <c r="Q132" s="468">
        <f>E133/1000</f>
        <v>35756.911</v>
      </c>
      <c r="R132" s="469">
        <f t="shared" si="22"/>
        <v>3.0159026580493176E-2</v>
      </c>
      <c r="S132" s="108"/>
      <c r="T132" s="108"/>
      <c r="U132" s="108"/>
      <c r="V132" s="108"/>
    </row>
    <row r="133" spans="2:25" ht="40.5">
      <c r="B133" s="330" t="s">
        <v>600</v>
      </c>
      <c r="C133" s="168" t="s">
        <v>612</v>
      </c>
      <c r="D133" s="195" t="s">
        <v>362</v>
      </c>
      <c r="E133" s="260">
        <v>35756911</v>
      </c>
      <c r="F133" s="260">
        <v>5347347</v>
      </c>
      <c r="G133" s="260">
        <f>E133-F133</f>
        <v>30409564</v>
      </c>
      <c r="H133" s="227">
        <v>31539990</v>
      </c>
      <c r="I133" s="227">
        <v>3912950</v>
      </c>
      <c r="J133" s="227">
        <f t="shared" si="20"/>
        <v>27627040</v>
      </c>
      <c r="K133" s="213">
        <v>31234733</v>
      </c>
      <c r="L133" s="227">
        <v>5864382.9800000004</v>
      </c>
      <c r="M133" s="227">
        <f t="shared" si="21"/>
        <v>25370350.02</v>
      </c>
      <c r="N133" s="213">
        <v>33401589</v>
      </c>
      <c r="O133" s="108"/>
      <c r="P133" s="535" t="s">
        <v>659</v>
      </c>
      <c r="Q133" s="468">
        <f>E134/1000</f>
        <v>4877.4979999999996</v>
      </c>
      <c r="R133" s="469">
        <f t="shared" si="22"/>
        <v>4.1139065907651335E-3</v>
      </c>
      <c r="S133" s="108"/>
      <c r="T133" s="108"/>
      <c r="U133" s="108"/>
      <c r="V133" s="108"/>
    </row>
    <row r="134" spans="2:25" ht="33.75" customHeight="1">
      <c r="B134" s="330" t="s">
        <v>602</v>
      </c>
      <c r="C134" s="168" t="s">
        <v>603</v>
      </c>
      <c r="D134" s="195" t="s">
        <v>362</v>
      </c>
      <c r="E134" s="260">
        <v>4877498</v>
      </c>
      <c r="F134" s="260">
        <v>1725884</v>
      </c>
      <c r="G134" s="260">
        <f>E134-F134</f>
        <v>3151614</v>
      </c>
      <c r="H134" s="227">
        <v>10140453.119999999</v>
      </c>
      <c r="I134" s="227">
        <v>4098693</v>
      </c>
      <c r="J134" s="227">
        <f>H134-I134</f>
        <v>6041760.1199999992</v>
      </c>
      <c r="K134" s="213">
        <v>4085548.5</v>
      </c>
      <c r="L134" s="227">
        <v>447660</v>
      </c>
      <c r="M134" s="227">
        <f>K134-L134</f>
        <v>3637888.5</v>
      </c>
      <c r="N134" s="331">
        <f>N130-N131-N132-N133</f>
        <v>0</v>
      </c>
      <c r="O134" s="108"/>
      <c r="P134" s="470"/>
      <c r="Q134" s="535"/>
      <c r="R134" s="471"/>
      <c r="S134" s="108"/>
      <c r="T134" s="108"/>
      <c r="U134" s="108"/>
      <c r="V134" s="108"/>
    </row>
    <row r="135" spans="2:25" ht="27">
      <c r="B135" s="228" t="s">
        <v>605</v>
      </c>
      <c r="C135" s="168" t="s">
        <v>606</v>
      </c>
      <c r="D135" s="195" t="s">
        <v>362</v>
      </c>
      <c r="E135" s="260">
        <v>198664193</v>
      </c>
      <c r="F135" s="260">
        <v>100852766</v>
      </c>
      <c r="G135" s="260">
        <f>E135-F135</f>
        <v>97811427</v>
      </c>
      <c r="H135" s="227">
        <v>163172051</v>
      </c>
      <c r="I135" s="227">
        <v>108461156</v>
      </c>
      <c r="J135" s="227">
        <f t="shared" si="20"/>
        <v>54710895</v>
      </c>
      <c r="K135" s="213">
        <v>139236654</v>
      </c>
      <c r="L135" s="227">
        <v>115360132</v>
      </c>
      <c r="M135" s="227">
        <f t="shared" si="21"/>
        <v>23876522</v>
      </c>
      <c r="N135" s="213">
        <v>130534843</v>
      </c>
      <c r="O135" s="108"/>
      <c r="P135" s="535" t="s">
        <v>660</v>
      </c>
      <c r="Q135" s="536">
        <f>SUM(Q127:Q133)</f>
        <v>1185612.2379999999</v>
      </c>
      <c r="R135" s="471">
        <f>SUM(R127:R134)</f>
        <v>1</v>
      </c>
      <c r="S135" s="108"/>
      <c r="T135" s="108"/>
      <c r="U135" s="108"/>
      <c r="V135" s="108"/>
    </row>
    <row r="137" spans="2:25" ht="40.5">
      <c r="B137" s="228" t="s">
        <v>364</v>
      </c>
      <c r="C137" s="167" t="s">
        <v>613</v>
      </c>
      <c r="D137" s="195" t="s">
        <v>614</v>
      </c>
      <c r="E137" s="265">
        <f>E135/E128</f>
        <v>0.41015331242742104</v>
      </c>
      <c r="F137" s="265">
        <f>F135/F128</f>
        <v>0.77231924754321724</v>
      </c>
      <c r="G137" s="265">
        <f>G135/G128</f>
        <v>0.27647419672818013</v>
      </c>
      <c r="H137" s="229">
        <v>0.32269999999999999</v>
      </c>
      <c r="I137" s="229">
        <f>I135/I128</f>
        <v>0.78514681372272588</v>
      </c>
      <c r="J137" s="229">
        <f>J135/J128</f>
        <v>0.14874050794985028</v>
      </c>
      <c r="K137" s="229">
        <v>0.2893</v>
      </c>
      <c r="L137" s="229">
        <f>L135/L128</f>
        <v>0.76868637559131425</v>
      </c>
      <c r="M137" s="229">
        <f>M135/M128</f>
        <v>7.2035924757605369E-2</v>
      </c>
      <c r="N137" s="229">
        <v>0.25790000000000002</v>
      </c>
      <c r="O137" s="108"/>
      <c r="P137" s="108"/>
      <c r="R137" s="64">
        <f>21.8+16.2+0.6+52.2+5.8+3+0.4</f>
        <v>100.00000000000001</v>
      </c>
      <c r="S137" s="108"/>
      <c r="T137" s="108"/>
      <c r="U137" s="108"/>
      <c r="V137" s="108"/>
    </row>
    <row r="138" spans="2:25">
      <c r="B138" s="126"/>
      <c r="C138" s="126"/>
      <c r="D138" s="127"/>
      <c r="E138" s="127"/>
      <c r="F138" s="127"/>
      <c r="G138" s="127"/>
      <c r="H138" s="128"/>
      <c r="I138" s="128"/>
      <c r="J138" s="128"/>
      <c r="K138" s="129"/>
      <c r="L138" s="129"/>
      <c r="M138" s="129"/>
      <c r="N138" s="108"/>
      <c r="O138" s="108"/>
      <c r="P138" s="108"/>
      <c r="S138" s="108"/>
      <c r="T138" s="108"/>
      <c r="U138" s="108"/>
      <c r="V138" s="108"/>
      <c r="W138" s="108"/>
      <c r="X138" s="108"/>
      <c r="Y138" s="108"/>
    </row>
    <row r="139" spans="2:25" ht="19.5">
      <c r="B139" s="106"/>
      <c r="C139" s="106"/>
      <c r="D139" s="127"/>
      <c r="E139" s="154"/>
      <c r="F139" s="127"/>
      <c r="G139" s="127"/>
      <c r="H139" s="128"/>
      <c r="I139" s="128"/>
      <c r="J139" s="128"/>
      <c r="K139" s="129"/>
      <c r="L139" s="129"/>
      <c r="M139" s="129"/>
      <c r="N139" s="108"/>
      <c r="O139" s="108"/>
      <c r="P139" s="108"/>
      <c r="S139" s="108"/>
      <c r="T139" s="108"/>
      <c r="U139" s="108"/>
      <c r="V139" s="108"/>
      <c r="W139" s="108"/>
      <c r="X139" s="108"/>
      <c r="Y139" s="108"/>
    </row>
    <row r="140" spans="2:25" ht="19.5">
      <c r="B140" s="250" t="s">
        <v>615</v>
      </c>
      <c r="C140" s="251" t="s">
        <v>616</v>
      </c>
      <c r="D140" s="267" t="s">
        <v>426</v>
      </c>
      <c r="E140" s="252" t="s">
        <v>427</v>
      </c>
    </row>
    <row r="141" spans="2:25">
      <c r="B141" s="195" t="s">
        <v>617</v>
      </c>
      <c r="C141" s="168" t="s">
        <v>618</v>
      </c>
      <c r="D141" s="195" t="s">
        <v>619</v>
      </c>
      <c r="E141" s="266">
        <v>0</v>
      </c>
    </row>
    <row r="147" spans="8:14">
      <c r="H147" s="108"/>
    </row>
    <row r="148" spans="8:14">
      <c r="L148" s="108"/>
      <c r="N148" s="13"/>
    </row>
  </sheetData>
  <mergeCells count="18">
    <mergeCell ref="E115:G115"/>
    <mergeCell ref="H115:J115"/>
    <mergeCell ref="K115:M115"/>
    <mergeCell ref="G45:I45"/>
    <mergeCell ref="G107:I107"/>
    <mergeCell ref="J107:O107"/>
    <mergeCell ref="E109:G109"/>
    <mergeCell ref="H109:J109"/>
    <mergeCell ref="K109:M109"/>
    <mergeCell ref="B2:N2"/>
    <mergeCell ref="B4:L4"/>
    <mergeCell ref="G6:I6"/>
    <mergeCell ref="E8:G8"/>
    <mergeCell ref="H8:J8"/>
    <mergeCell ref="K8:M8"/>
    <mergeCell ref="B8:B9"/>
    <mergeCell ref="C8:C9"/>
    <mergeCell ref="D8:D9"/>
  </mergeCells>
  <pageMargins left="0.25" right="0.25" top="0.75" bottom="0.75" header="0.3" footer="0.3"/>
  <pageSetup paperSize="9" scale="31" fitToHeight="0" orientation="landscape"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C42C0-729B-4E4A-A86E-48E914A1F7E5}">
  <dimension ref="A1:R182"/>
  <sheetViews>
    <sheetView zoomScale="70" zoomScaleNormal="70" workbookViewId="0">
      <pane xSplit="2" ySplit="7" topLeftCell="C143" activePane="bottomRight" state="frozen"/>
      <selection activeCell="F51" sqref="F51"/>
      <selection pane="topRight" activeCell="F51" sqref="F51"/>
      <selection pane="bottomLeft" activeCell="F51" sqref="F51"/>
      <selection pane="bottomRight" activeCell="F51" sqref="F51"/>
    </sheetView>
  </sheetViews>
  <sheetFormatPr defaultColWidth="8.81640625" defaultRowHeight="13.5"/>
  <cols>
    <col min="1" max="1" width="21.453125" style="2" customWidth="1"/>
    <col min="2" max="2" width="52.81640625" style="15" customWidth="1"/>
    <col min="3" max="3" width="83.453125" style="15" customWidth="1"/>
    <col min="4" max="4" width="14.81640625" style="15" customWidth="1"/>
    <col min="5" max="5" width="15.453125" style="15" customWidth="1"/>
    <col min="6" max="6" width="15.1796875" style="15" customWidth="1"/>
    <col min="7" max="8" width="14.81640625" style="15" customWidth="1"/>
    <col min="9" max="9" width="16.81640625" style="15" customWidth="1"/>
    <col min="10" max="13" width="14.81640625" style="15" customWidth="1"/>
    <col min="14" max="14" width="13.1796875" style="15" customWidth="1"/>
    <col min="15" max="15" width="9.1796875" style="15" customWidth="1"/>
    <col min="16" max="18" width="9.1796875" style="2" customWidth="1"/>
    <col min="19" max="16384" width="8.81640625" style="2"/>
  </cols>
  <sheetData>
    <row r="1" spans="1:18" ht="34">
      <c r="A1" s="66"/>
    </row>
    <row r="2" spans="1:18" ht="34">
      <c r="A2" s="66"/>
      <c r="B2" s="1495" t="s">
        <v>15</v>
      </c>
      <c r="C2" s="1495"/>
      <c r="D2" s="1495"/>
      <c r="E2" s="1495"/>
      <c r="F2" s="1495"/>
      <c r="G2" s="1495"/>
      <c r="H2" s="1495"/>
      <c r="I2" s="1495"/>
      <c r="J2" s="1495"/>
      <c r="K2" s="1495"/>
      <c r="L2" s="1495"/>
      <c r="M2" s="1495"/>
      <c r="N2" s="1495"/>
      <c r="O2" s="1495"/>
      <c r="P2" s="1495"/>
      <c r="Q2" s="1495"/>
      <c r="R2" s="1495"/>
    </row>
    <row r="4" spans="1:18" ht="22.5" customHeight="1">
      <c r="B4" s="1416" t="s">
        <v>709</v>
      </c>
      <c r="C4" s="1416"/>
      <c r="D4" s="1416"/>
      <c r="E4" s="1416"/>
      <c r="F4" s="1416"/>
      <c r="G4" s="1416"/>
      <c r="H4" s="1416"/>
      <c r="I4" s="1416"/>
      <c r="J4" s="1416"/>
      <c r="K4" s="1416"/>
      <c r="L4" s="1416"/>
      <c r="M4" s="1416"/>
      <c r="N4" s="1416"/>
      <c r="O4" s="1416"/>
    </row>
    <row r="5" spans="1:18">
      <c r="B5" s="67"/>
      <c r="C5" s="67"/>
      <c r="D5" s="67"/>
      <c r="E5" s="67"/>
      <c r="F5" s="67"/>
      <c r="G5" s="67"/>
      <c r="H5" s="67"/>
      <c r="I5" s="67"/>
      <c r="J5" s="67"/>
      <c r="K5" s="67"/>
      <c r="L5" s="67"/>
      <c r="M5" s="67"/>
      <c r="N5" s="67"/>
      <c r="O5" s="67"/>
    </row>
    <row r="6" spans="1:18" ht="17.5" customHeight="1">
      <c r="B6" s="291" t="s">
        <v>710</v>
      </c>
      <c r="C6" s="483" t="s">
        <v>662</v>
      </c>
      <c r="D6" s="1496" t="s">
        <v>427</v>
      </c>
      <c r="E6" s="1496"/>
      <c r="F6" s="1496"/>
      <c r="G6" s="1496" t="s">
        <v>412</v>
      </c>
      <c r="H6" s="1496"/>
      <c r="I6" s="1496"/>
      <c r="J6" s="1496" t="s">
        <v>406</v>
      </c>
      <c r="K6" s="1496"/>
      <c r="L6" s="1497"/>
      <c r="M6" s="1394" t="s">
        <v>711</v>
      </c>
      <c r="N6" s="1394" t="s">
        <v>712</v>
      </c>
      <c r="O6" s="67"/>
      <c r="P6" s="67"/>
    </row>
    <row r="7" spans="1:18" ht="31" customHeight="1">
      <c r="A7" s="15"/>
      <c r="B7" s="292" t="s">
        <v>713</v>
      </c>
      <c r="C7" s="293" t="s">
        <v>907</v>
      </c>
      <c r="D7" s="294" t="s">
        <v>714</v>
      </c>
      <c r="E7" s="294" t="s">
        <v>715</v>
      </c>
      <c r="F7" s="294" t="s">
        <v>480</v>
      </c>
      <c r="G7" s="294" t="s">
        <v>714</v>
      </c>
      <c r="H7" s="294" t="s">
        <v>715</v>
      </c>
      <c r="I7" s="294" t="s">
        <v>480</v>
      </c>
      <c r="J7" s="294" t="s">
        <v>714</v>
      </c>
      <c r="K7" s="294" t="s">
        <v>715</v>
      </c>
      <c r="L7" s="328" t="s">
        <v>480</v>
      </c>
      <c r="M7" s="1395"/>
      <c r="N7" s="1395"/>
      <c r="O7" s="99" t="s">
        <v>716</v>
      </c>
    </row>
    <row r="8" spans="1:18">
      <c r="B8" s="200" t="s">
        <v>717</v>
      </c>
      <c r="C8" s="487"/>
      <c r="D8" s="290"/>
      <c r="E8" s="290"/>
      <c r="F8" s="290"/>
      <c r="G8" s="290"/>
      <c r="H8" s="290"/>
      <c r="I8" s="290"/>
      <c r="J8" s="290"/>
      <c r="K8" s="290"/>
      <c r="L8" s="290"/>
      <c r="M8" s="351"/>
      <c r="N8" s="99"/>
      <c r="O8" s="99"/>
    </row>
    <row r="9" spans="1:18">
      <c r="B9" s="295" t="s">
        <v>718</v>
      </c>
      <c r="C9" s="1464" t="s">
        <v>719</v>
      </c>
      <c r="D9" s="486">
        <v>1116</v>
      </c>
      <c r="E9" s="486">
        <v>2798</v>
      </c>
      <c r="F9" s="486">
        <f>SUM(D9:E9)</f>
        <v>3914</v>
      </c>
      <c r="G9" s="1452">
        <v>2333</v>
      </c>
      <c r="H9" s="1452">
        <v>4901</v>
      </c>
      <c r="I9" s="1452">
        <f>SUM(G9:H9)</f>
        <v>7234</v>
      </c>
      <c r="J9" s="1452">
        <v>2344</v>
      </c>
      <c r="K9" s="1452">
        <v>5229</v>
      </c>
      <c r="L9" s="1452">
        <f>J9+K9</f>
        <v>7573</v>
      </c>
      <c r="M9" s="350">
        <f t="shared" ref="M9:M14" si="0">D9/F9</f>
        <v>0.28513030148185997</v>
      </c>
      <c r="N9" s="1414"/>
      <c r="O9" s="1414"/>
      <c r="P9" s="2" t="str">
        <f>B9</f>
        <v xml:space="preserve">UK </v>
      </c>
      <c r="Q9" s="95">
        <f>F9+F16</f>
        <v>4079</v>
      </c>
    </row>
    <row r="10" spans="1:18">
      <c r="B10" s="295" t="s">
        <v>720</v>
      </c>
      <c r="C10" s="1464"/>
      <c r="D10" s="486">
        <v>1088</v>
      </c>
      <c r="E10" s="486">
        <v>1602</v>
      </c>
      <c r="F10" s="486">
        <f>SUM(D10:E10)</f>
        <v>2690</v>
      </c>
      <c r="G10" s="1452"/>
      <c r="H10" s="1452"/>
      <c r="I10" s="1452"/>
      <c r="J10" s="1452"/>
      <c r="K10" s="1452"/>
      <c r="L10" s="1452"/>
      <c r="M10" s="350">
        <f t="shared" si="0"/>
        <v>0.40446096654275093</v>
      </c>
      <c r="N10" s="1415"/>
      <c r="O10" s="1415"/>
      <c r="P10" s="2" t="str">
        <f>B10</f>
        <v>Rest of Europe</v>
      </c>
      <c r="Q10" s="95">
        <f>F10+F17</f>
        <v>2858</v>
      </c>
    </row>
    <row r="11" spans="1:18">
      <c r="B11" s="295" t="s">
        <v>721</v>
      </c>
      <c r="C11" s="1464"/>
      <c r="D11" s="486">
        <v>554</v>
      </c>
      <c r="E11" s="486">
        <v>1606</v>
      </c>
      <c r="F11" s="486">
        <f>SUM(D11:E11)</f>
        <v>2160</v>
      </c>
      <c r="G11" s="486">
        <v>685</v>
      </c>
      <c r="H11" s="486">
        <v>2076</v>
      </c>
      <c r="I11" s="486">
        <f>SUM(G11:H11)</f>
        <v>2761</v>
      </c>
      <c r="J11" s="486">
        <v>660</v>
      </c>
      <c r="K11" s="486">
        <v>2078</v>
      </c>
      <c r="L11" s="486">
        <f>J11+K11</f>
        <v>2738</v>
      </c>
      <c r="M11" s="350">
        <f t="shared" si="0"/>
        <v>0.25648148148148148</v>
      </c>
      <c r="N11" s="101"/>
      <c r="O11" s="101"/>
      <c r="P11" s="2" t="str">
        <f>B11</f>
        <v>North America</v>
      </c>
      <c r="Q11" s="95">
        <f>F11+F18</f>
        <v>2186</v>
      </c>
    </row>
    <row r="12" spans="1:18">
      <c r="B12" s="295" t="s">
        <v>722</v>
      </c>
      <c r="C12" s="1464"/>
      <c r="D12" s="486">
        <v>537</v>
      </c>
      <c r="E12" s="486">
        <v>1902</v>
      </c>
      <c r="F12" s="486">
        <f>SUM(D12:E12)</f>
        <v>2439</v>
      </c>
      <c r="G12" s="486">
        <v>510</v>
      </c>
      <c r="H12" s="486">
        <v>1965</v>
      </c>
      <c r="I12" s="486">
        <f>SUM(G12:H12)</f>
        <v>2475</v>
      </c>
      <c r="J12" s="486">
        <v>441</v>
      </c>
      <c r="K12" s="486">
        <v>1913</v>
      </c>
      <c r="L12" s="486">
        <f>J12+K12</f>
        <v>2354</v>
      </c>
      <c r="M12" s="350">
        <f t="shared" si="0"/>
        <v>0.22017220172201721</v>
      </c>
      <c r="N12" s="101"/>
      <c r="O12" s="101"/>
      <c r="P12" s="2" t="str">
        <f>B12</f>
        <v>Asia</v>
      </c>
      <c r="Q12" s="95">
        <f>F12+F19</f>
        <v>2459</v>
      </c>
    </row>
    <row r="13" spans="1:18">
      <c r="B13" s="295" t="s">
        <v>723</v>
      </c>
      <c r="C13" s="1464"/>
      <c r="D13" s="486">
        <v>280</v>
      </c>
      <c r="E13" s="486">
        <v>701</v>
      </c>
      <c r="F13" s="486">
        <f>SUM(D13:E13)</f>
        <v>981</v>
      </c>
      <c r="G13" s="486">
        <v>200</v>
      </c>
      <c r="H13" s="486">
        <v>410</v>
      </c>
      <c r="I13" s="486">
        <f>SUM(G13:H13)</f>
        <v>610</v>
      </c>
      <c r="J13" s="486">
        <v>198</v>
      </c>
      <c r="K13" s="486">
        <v>396</v>
      </c>
      <c r="L13" s="486">
        <f>J13+K13</f>
        <v>594</v>
      </c>
      <c r="M13" s="350">
        <f t="shared" si="0"/>
        <v>0.2854230377166157</v>
      </c>
      <c r="N13" s="101"/>
      <c r="O13" s="101"/>
      <c r="P13" s="2" t="str">
        <f>B13</f>
        <v>Rest of World</v>
      </c>
      <c r="Q13" s="95">
        <f>F13+F20</f>
        <v>1056</v>
      </c>
    </row>
    <row r="14" spans="1:18">
      <c r="B14" s="431" t="s">
        <v>724</v>
      </c>
      <c r="C14" s="1464"/>
      <c r="D14" s="486">
        <f t="shared" ref="D14:L14" si="1">SUM(D9:D13)</f>
        <v>3575</v>
      </c>
      <c r="E14" s="486">
        <f t="shared" si="1"/>
        <v>8609</v>
      </c>
      <c r="F14" s="486">
        <f t="shared" si="1"/>
        <v>12184</v>
      </c>
      <c r="G14" s="486">
        <f t="shared" si="1"/>
        <v>3728</v>
      </c>
      <c r="H14" s="486">
        <f t="shared" si="1"/>
        <v>9352</v>
      </c>
      <c r="I14" s="486">
        <f t="shared" si="1"/>
        <v>13080</v>
      </c>
      <c r="J14" s="486">
        <f t="shared" si="1"/>
        <v>3643</v>
      </c>
      <c r="K14" s="486">
        <f t="shared" si="1"/>
        <v>9616</v>
      </c>
      <c r="L14" s="486">
        <f t="shared" si="1"/>
        <v>13259</v>
      </c>
      <c r="M14" s="350">
        <f t="shared" si="0"/>
        <v>0.29341759684832569</v>
      </c>
      <c r="N14" s="102"/>
      <c r="O14" s="102"/>
      <c r="Q14" s="95"/>
    </row>
    <row r="15" spans="1:18">
      <c r="B15" s="335" t="s">
        <v>725</v>
      </c>
      <c r="C15" s="341"/>
      <c r="D15" s="342"/>
      <c r="E15" s="342"/>
      <c r="F15" s="342"/>
      <c r="G15" s="342"/>
      <c r="H15" s="342"/>
      <c r="I15" s="342"/>
      <c r="J15" s="342"/>
      <c r="K15" s="342"/>
      <c r="L15" s="342"/>
      <c r="M15" s="350"/>
      <c r="N15" s="99"/>
      <c r="O15" s="99"/>
    </row>
    <row r="16" spans="1:18" ht="14.5">
      <c r="B16" s="343" t="s">
        <v>718</v>
      </c>
      <c r="C16" s="1492" t="s">
        <v>726</v>
      </c>
      <c r="D16" s="484">
        <v>64</v>
      </c>
      <c r="E16" s="484">
        <v>101</v>
      </c>
      <c r="F16" s="484">
        <f>SUM(D16:E16)</f>
        <v>165</v>
      </c>
      <c r="G16" s="1494">
        <v>102</v>
      </c>
      <c r="H16" s="1494">
        <v>104</v>
      </c>
      <c r="I16" s="1494">
        <f>SUM(G16:H16)</f>
        <v>206</v>
      </c>
      <c r="J16" s="1494">
        <v>103</v>
      </c>
      <c r="K16" s="1494">
        <v>154</v>
      </c>
      <c r="L16" s="1494">
        <f>J16+K16</f>
        <v>257</v>
      </c>
      <c r="M16" s="350">
        <f t="shared" ref="M16:M21" si="2">D16/F16</f>
        <v>0.38787878787878788</v>
      </c>
      <c r="N16" s="99"/>
      <c r="O16" s="99"/>
      <c r="P16" t="s">
        <v>727</v>
      </c>
      <c r="Q16" s="385">
        <v>0.54900000000000004</v>
      </c>
      <c r="R16" s="386">
        <v>0.55000000000000004</v>
      </c>
    </row>
    <row r="17" spans="1:18">
      <c r="B17" s="343" t="s">
        <v>720</v>
      </c>
      <c r="C17" s="1492"/>
      <c r="D17" s="484">
        <v>77</v>
      </c>
      <c r="E17" s="484">
        <v>91</v>
      </c>
      <c r="F17" s="484">
        <f>SUM(D17:E17)</f>
        <v>168</v>
      </c>
      <c r="G17" s="1494"/>
      <c r="H17" s="1494"/>
      <c r="I17" s="1494"/>
      <c r="J17" s="1494"/>
      <c r="K17" s="1494"/>
      <c r="L17" s="1494"/>
      <c r="M17" s="350">
        <f t="shared" si="2"/>
        <v>0.45833333333333331</v>
      </c>
      <c r="N17" s="100"/>
      <c r="O17" s="100"/>
      <c r="P17" s="2" t="s">
        <v>728</v>
      </c>
      <c r="Q17" s="385">
        <v>8.3000000000000004E-2</v>
      </c>
      <c r="R17" s="386">
        <v>0.08</v>
      </c>
    </row>
    <row r="18" spans="1:18">
      <c r="B18" s="343" t="s">
        <v>721</v>
      </c>
      <c r="C18" s="1492"/>
      <c r="D18" s="484">
        <v>13</v>
      </c>
      <c r="E18" s="484">
        <v>13</v>
      </c>
      <c r="F18" s="484">
        <f>SUM(D18:E18)</f>
        <v>26</v>
      </c>
      <c r="G18" s="484">
        <v>30</v>
      </c>
      <c r="H18" s="484">
        <v>44</v>
      </c>
      <c r="I18" s="484">
        <f>SUM(G18:H18)</f>
        <v>74</v>
      </c>
      <c r="J18" s="484">
        <v>4</v>
      </c>
      <c r="K18" s="484">
        <v>51</v>
      </c>
      <c r="L18" s="484">
        <f>J18+K18</f>
        <v>55</v>
      </c>
      <c r="M18" s="350">
        <f t="shared" si="2"/>
        <v>0.5</v>
      </c>
      <c r="N18" s="100"/>
      <c r="O18" s="100"/>
      <c r="P18" s="2" t="s">
        <v>729</v>
      </c>
      <c r="Q18" s="385">
        <v>0.111</v>
      </c>
      <c r="R18" s="386">
        <v>0.11</v>
      </c>
    </row>
    <row r="19" spans="1:18">
      <c r="B19" s="343" t="s">
        <v>722</v>
      </c>
      <c r="C19" s="1492"/>
      <c r="D19" s="484">
        <v>10</v>
      </c>
      <c r="E19" s="484">
        <v>10</v>
      </c>
      <c r="F19" s="484">
        <f>SUM(D19:E19)</f>
        <v>20</v>
      </c>
      <c r="G19" s="484">
        <v>10</v>
      </c>
      <c r="H19" s="484">
        <v>12</v>
      </c>
      <c r="I19" s="484">
        <f>SUM(G19:H19)</f>
        <v>22</v>
      </c>
      <c r="J19" s="484">
        <v>14</v>
      </c>
      <c r="K19" s="484">
        <v>13</v>
      </c>
      <c r="L19" s="484">
        <f>J19+K19</f>
        <v>27</v>
      </c>
      <c r="M19" s="350">
        <f t="shared" si="2"/>
        <v>0.5</v>
      </c>
      <c r="N19" s="100"/>
      <c r="O19" s="100"/>
      <c r="P19" s="2" t="s">
        <v>721</v>
      </c>
      <c r="Q19" s="385">
        <v>0.17299999999999999</v>
      </c>
      <c r="R19" s="386">
        <v>0.17</v>
      </c>
    </row>
    <row r="20" spans="1:18">
      <c r="B20" s="343" t="s">
        <v>723</v>
      </c>
      <c r="C20" s="1492"/>
      <c r="D20" s="484">
        <v>34</v>
      </c>
      <c r="E20" s="484">
        <v>41</v>
      </c>
      <c r="F20" s="484">
        <f>SUM(D20:E20)</f>
        <v>75</v>
      </c>
      <c r="G20" s="484">
        <v>28</v>
      </c>
      <c r="H20" s="484">
        <v>20</v>
      </c>
      <c r="I20" s="484">
        <f>SUM(G20:H20)</f>
        <v>48</v>
      </c>
      <c r="J20" s="484">
        <v>19</v>
      </c>
      <c r="K20" s="484">
        <v>24</v>
      </c>
      <c r="L20" s="484">
        <f>J20+K20</f>
        <v>43</v>
      </c>
      <c r="M20" s="350">
        <f t="shared" si="2"/>
        <v>0.45333333333333331</v>
      </c>
      <c r="N20" s="100"/>
      <c r="O20" s="100"/>
      <c r="P20" s="2" t="s">
        <v>723</v>
      </c>
      <c r="Q20" s="385">
        <v>8.4000000000000005E-2</v>
      </c>
      <c r="R20" s="386">
        <v>0.09</v>
      </c>
    </row>
    <row r="21" spans="1:18">
      <c r="B21" s="430" t="s">
        <v>724</v>
      </c>
      <c r="C21" s="1493"/>
      <c r="D21" s="420">
        <f t="shared" ref="D21:K21" si="3">SUM(D16:D20)</f>
        <v>198</v>
      </c>
      <c r="E21" s="420">
        <f t="shared" si="3"/>
        <v>256</v>
      </c>
      <c r="F21" s="420">
        <f t="shared" si="3"/>
        <v>454</v>
      </c>
      <c r="G21" s="420">
        <f t="shared" si="3"/>
        <v>170</v>
      </c>
      <c r="H21" s="420">
        <f t="shared" si="3"/>
        <v>180</v>
      </c>
      <c r="I21" s="420">
        <f t="shared" si="3"/>
        <v>350</v>
      </c>
      <c r="J21" s="420">
        <f t="shared" si="3"/>
        <v>140</v>
      </c>
      <c r="K21" s="420">
        <f t="shared" si="3"/>
        <v>242</v>
      </c>
      <c r="L21" s="420">
        <f>J21+K21</f>
        <v>382</v>
      </c>
      <c r="M21" s="421">
        <f t="shared" si="2"/>
        <v>0.43612334801762115</v>
      </c>
      <c r="N21" s="67"/>
      <c r="O21" s="67"/>
      <c r="Q21" s="385">
        <f>SUM(Q16:Q20)</f>
        <v>0.99999999999999989</v>
      </c>
      <c r="R21" s="349">
        <f>SUM(R16:R20)</f>
        <v>1</v>
      </c>
    </row>
    <row r="22" spans="1:18">
      <c r="B22" s="423" t="s">
        <v>730</v>
      </c>
      <c r="C22" s="424"/>
      <c r="D22" s="425"/>
      <c r="E22" s="425"/>
      <c r="F22" s="425"/>
      <c r="G22" s="425"/>
      <c r="H22" s="425"/>
      <c r="I22" s="425"/>
      <c r="J22" s="425"/>
      <c r="K22" s="425"/>
      <c r="L22" s="425"/>
      <c r="M22" s="425"/>
      <c r="N22" s="67"/>
      <c r="O22" s="67"/>
    </row>
    <row r="23" spans="1:18">
      <c r="B23" s="426" t="s">
        <v>718</v>
      </c>
      <c r="C23" s="1491" t="s">
        <v>731</v>
      </c>
      <c r="D23" s="437">
        <f t="shared" ref="D23:L23" si="4">D9+D16</f>
        <v>1180</v>
      </c>
      <c r="E23" s="437">
        <f t="shared" si="4"/>
        <v>2899</v>
      </c>
      <c r="F23" s="437">
        <f t="shared" si="4"/>
        <v>4079</v>
      </c>
      <c r="G23" s="1487">
        <f t="shared" si="4"/>
        <v>2435</v>
      </c>
      <c r="H23" s="1487">
        <f t="shared" si="4"/>
        <v>5005</v>
      </c>
      <c r="I23" s="1487">
        <f t="shared" si="4"/>
        <v>7440</v>
      </c>
      <c r="J23" s="1487">
        <f t="shared" si="4"/>
        <v>2447</v>
      </c>
      <c r="K23" s="1487">
        <f t="shared" si="4"/>
        <v>5383</v>
      </c>
      <c r="L23" s="1487">
        <f t="shared" si="4"/>
        <v>7830</v>
      </c>
      <c r="M23" s="428">
        <f t="shared" ref="M23:M28" si="5">D23/F23</f>
        <v>0.28928658985045352</v>
      </c>
      <c r="N23" s="67"/>
      <c r="O23" s="67"/>
    </row>
    <row r="24" spans="1:18">
      <c r="B24" s="426" t="s">
        <v>720</v>
      </c>
      <c r="C24" s="1491"/>
      <c r="D24" s="437">
        <f t="shared" ref="D24:F27" si="6">D10+D17</f>
        <v>1165</v>
      </c>
      <c r="E24" s="437">
        <f t="shared" si="6"/>
        <v>1693</v>
      </c>
      <c r="F24" s="437">
        <f t="shared" si="6"/>
        <v>2858</v>
      </c>
      <c r="G24" s="1488"/>
      <c r="H24" s="1488"/>
      <c r="I24" s="1488"/>
      <c r="J24" s="1488"/>
      <c r="K24" s="1488"/>
      <c r="L24" s="1488"/>
      <c r="M24" s="428">
        <f t="shared" si="5"/>
        <v>0.40762771168649403</v>
      </c>
      <c r="N24" s="67"/>
      <c r="O24" s="67"/>
    </row>
    <row r="25" spans="1:18">
      <c r="B25" s="426" t="s">
        <v>721</v>
      </c>
      <c r="C25" s="1491"/>
      <c r="D25" s="437">
        <f t="shared" si="6"/>
        <v>567</v>
      </c>
      <c r="E25" s="437">
        <f t="shared" si="6"/>
        <v>1619</v>
      </c>
      <c r="F25" s="437">
        <f t="shared" si="6"/>
        <v>2186</v>
      </c>
      <c r="G25" s="437">
        <f t="shared" ref="G25:L27" si="7">G11+G18</f>
        <v>715</v>
      </c>
      <c r="H25" s="437">
        <f t="shared" si="7"/>
        <v>2120</v>
      </c>
      <c r="I25" s="437">
        <f t="shared" si="7"/>
        <v>2835</v>
      </c>
      <c r="J25" s="437">
        <f t="shared" si="7"/>
        <v>664</v>
      </c>
      <c r="K25" s="437">
        <f t="shared" si="7"/>
        <v>2129</v>
      </c>
      <c r="L25" s="437">
        <f t="shared" si="7"/>
        <v>2793</v>
      </c>
      <c r="M25" s="428">
        <f t="shared" si="5"/>
        <v>0.25937785910338518</v>
      </c>
      <c r="N25" s="67"/>
      <c r="O25" s="67"/>
    </row>
    <row r="26" spans="1:18">
      <c r="B26" s="426" t="s">
        <v>722</v>
      </c>
      <c r="C26" s="1491"/>
      <c r="D26" s="437">
        <f t="shared" si="6"/>
        <v>547</v>
      </c>
      <c r="E26" s="437">
        <f t="shared" si="6"/>
        <v>1912</v>
      </c>
      <c r="F26" s="437">
        <f t="shared" si="6"/>
        <v>2459</v>
      </c>
      <c r="G26" s="437">
        <f t="shared" si="7"/>
        <v>520</v>
      </c>
      <c r="H26" s="437">
        <f t="shared" si="7"/>
        <v>1977</v>
      </c>
      <c r="I26" s="437">
        <f t="shared" si="7"/>
        <v>2497</v>
      </c>
      <c r="J26" s="437">
        <f t="shared" si="7"/>
        <v>455</v>
      </c>
      <c r="K26" s="437">
        <f t="shared" si="7"/>
        <v>1926</v>
      </c>
      <c r="L26" s="437">
        <f t="shared" si="7"/>
        <v>2381</v>
      </c>
      <c r="M26" s="428">
        <f t="shared" si="5"/>
        <v>0.22244814965433102</v>
      </c>
      <c r="N26" s="67"/>
      <c r="O26" s="67"/>
    </row>
    <row r="27" spans="1:18">
      <c r="B27" s="426" t="s">
        <v>723</v>
      </c>
      <c r="C27" s="1491"/>
      <c r="D27" s="437">
        <f t="shared" si="6"/>
        <v>314</v>
      </c>
      <c r="E27" s="437">
        <f t="shared" si="6"/>
        <v>742</v>
      </c>
      <c r="F27" s="437">
        <f t="shared" si="6"/>
        <v>1056</v>
      </c>
      <c r="G27" s="437">
        <f t="shared" si="7"/>
        <v>228</v>
      </c>
      <c r="H27" s="437">
        <f t="shared" si="7"/>
        <v>430</v>
      </c>
      <c r="I27" s="437">
        <f t="shared" si="7"/>
        <v>658</v>
      </c>
      <c r="J27" s="437">
        <f t="shared" si="7"/>
        <v>217</v>
      </c>
      <c r="K27" s="437">
        <f t="shared" si="7"/>
        <v>420</v>
      </c>
      <c r="L27" s="437">
        <f t="shared" si="7"/>
        <v>637</v>
      </c>
      <c r="M27" s="428">
        <f t="shared" si="5"/>
        <v>0.29734848484848486</v>
      </c>
      <c r="N27" s="67"/>
      <c r="O27" s="67"/>
    </row>
    <row r="28" spans="1:18">
      <c r="B28" s="429" t="s">
        <v>724</v>
      </c>
      <c r="C28" s="1491"/>
      <c r="D28" s="427">
        <f>D14+D21</f>
        <v>3773</v>
      </c>
      <c r="E28" s="427">
        <f>E14+E21</f>
        <v>8865</v>
      </c>
      <c r="F28" s="427">
        <f>D28+E28</f>
        <v>12638</v>
      </c>
      <c r="G28" s="427">
        <f>G14+G21</f>
        <v>3898</v>
      </c>
      <c r="H28" s="427">
        <f>H14+H21</f>
        <v>9532</v>
      </c>
      <c r="I28" s="427">
        <f>G28+H28</f>
        <v>13430</v>
      </c>
      <c r="J28" s="427">
        <f>J14+J21</f>
        <v>3783</v>
      </c>
      <c r="K28" s="427">
        <f>K14+K21</f>
        <v>9858</v>
      </c>
      <c r="L28" s="427">
        <f>J28+K28</f>
        <v>13641</v>
      </c>
      <c r="M28" s="428">
        <f t="shared" si="5"/>
        <v>0.29854407342934008</v>
      </c>
      <c r="N28" s="67"/>
      <c r="O28" s="67"/>
    </row>
    <row r="29" spans="1:18">
      <c r="B29" s="347"/>
      <c r="C29" s="348"/>
      <c r="D29" s="578"/>
      <c r="E29" s="578"/>
      <c r="F29" s="578"/>
      <c r="G29" s="578"/>
      <c r="H29" s="578"/>
      <c r="I29" s="578"/>
      <c r="J29" s="578"/>
      <c r="K29" s="578"/>
      <c r="L29" s="578"/>
      <c r="M29" s="578"/>
      <c r="N29" s="1414"/>
      <c r="O29" s="67"/>
    </row>
    <row r="30" spans="1:18">
      <c r="B30" s="435" t="s">
        <v>732</v>
      </c>
      <c r="C30" s="436" t="s">
        <v>733</v>
      </c>
      <c r="D30" s="437">
        <v>3</v>
      </c>
      <c r="E30" s="437">
        <v>6</v>
      </c>
      <c r="F30" s="437">
        <f t="shared" ref="F30:F35" si="8">D30+E30</f>
        <v>9</v>
      </c>
      <c r="G30" s="437">
        <v>3</v>
      </c>
      <c r="H30" s="437">
        <v>6</v>
      </c>
      <c r="I30" s="437">
        <f t="shared" ref="I30:I35" si="9">G30+H30</f>
        <v>9</v>
      </c>
      <c r="J30" s="437">
        <v>2</v>
      </c>
      <c r="K30" s="437">
        <v>5</v>
      </c>
      <c r="L30" s="437">
        <f t="shared" ref="L30:L35" si="10">J30+K30</f>
        <v>7</v>
      </c>
      <c r="M30" s="428">
        <f t="shared" ref="M30:M35" si="11">D30/F30</f>
        <v>0.33333333333333331</v>
      </c>
      <c r="N30" s="1415"/>
      <c r="O30" s="67"/>
    </row>
    <row r="31" spans="1:18">
      <c r="B31" s="435" t="s">
        <v>734</v>
      </c>
      <c r="C31" s="436" t="s">
        <v>735</v>
      </c>
      <c r="D31" s="437">
        <v>3</v>
      </c>
      <c r="E31" s="437">
        <v>9</v>
      </c>
      <c r="F31" s="437">
        <f t="shared" si="8"/>
        <v>12</v>
      </c>
      <c r="G31" s="437">
        <v>2</v>
      </c>
      <c r="H31" s="437">
        <v>6</v>
      </c>
      <c r="I31" s="437">
        <f t="shared" si="9"/>
        <v>8</v>
      </c>
      <c r="J31" s="437">
        <v>4</v>
      </c>
      <c r="K31" s="437">
        <v>5</v>
      </c>
      <c r="L31" s="437">
        <f t="shared" si="10"/>
        <v>9</v>
      </c>
      <c r="M31" s="428">
        <f t="shared" si="11"/>
        <v>0.25</v>
      </c>
      <c r="O31" s="67"/>
    </row>
    <row r="32" spans="1:18" s="15" customFormat="1" ht="28" customHeight="1">
      <c r="A32" s="2"/>
      <c r="B32" s="433" t="s">
        <v>736</v>
      </c>
      <c r="C32" s="434" t="s">
        <v>737</v>
      </c>
      <c r="D32" s="432">
        <v>13</v>
      </c>
      <c r="E32" s="432">
        <v>86</v>
      </c>
      <c r="F32" s="432">
        <f t="shared" si="8"/>
        <v>99</v>
      </c>
      <c r="G32" s="432">
        <v>17</v>
      </c>
      <c r="H32" s="432">
        <v>100</v>
      </c>
      <c r="I32" s="432">
        <f t="shared" si="9"/>
        <v>117</v>
      </c>
      <c r="J32" s="432">
        <v>16</v>
      </c>
      <c r="K32" s="432">
        <v>95</v>
      </c>
      <c r="L32" s="432">
        <f t="shared" si="10"/>
        <v>111</v>
      </c>
      <c r="M32" s="422">
        <f t="shared" si="11"/>
        <v>0.13131313131313133</v>
      </c>
      <c r="O32" s="67"/>
    </row>
    <row r="33" spans="1:15">
      <c r="B33" s="339" t="s">
        <v>738</v>
      </c>
      <c r="C33" s="340" t="s">
        <v>739</v>
      </c>
      <c r="D33" s="338">
        <v>31</v>
      </c>
      <c r="E33" s="338">
        <v>52</v>
      </c>
      <c r="F33" s="338">
        <f t="shared" si="8"/>
        <v>83</v>
      </c>
      <c r="G33" s="338">
        <v>22</v>
      </c>
      <c r="H33" s="338">
        <v>38</v>
      </c>
      <c r="I33" s="338">
        <f t="shared" si="9"/>
        <v>60</v>
      </c>
      <c r="J33" s="338">
        <v>21</v>
      </c>
      <c r="K33" s="338">
        <v>41</v>
      </c>
      <c r="L33" s="338">
        <f t="shared" si="10"/>
        <v>62</v>
      </c>
      <c r="M33" s="350">
        <f t="shared" si="11"/>
        <v>0.37349397590361444</v>
      </c>
      <c r="O33" s="67"/>
    </row>
    <row r="34" spans="1:15" ht="54">
      <c r="B34" s="352" t="s">
        <v>740</v>
      </c>
      <c r="C34" s="353" t="s">
        <v>741</v>
      </c>
      <c r="D34" s="344">
        <v>478</v>
      </c>
      <c r="E34" s="344">
        <v>1223</v>
      </c>
      <c r="F34" s="344">
        <f t="shared" si="8"/>
        <v>1701</v>
      </c>
      <c r="G34" s="344">
        <v>487</v>
      </c>
      <c r="H34" s="344">
        <v>1302</v>
      </c>
      <c r="I34" s="344">
        <f t="shared" si="9"/>
        <v>1789</v>
      </c>
      <c r="J34" s="354"/>
      <c r="K34" s="354"/>
      <c r="L34" s="355">
        <f t="shared" si="10"/>
        <v>0</v>
      </c>
      <c r="M34" s="416">
        <f t="shared" si="11"/>
        <v>0.28101116990005881</v>
      </c>
      <c r="N34" s="417">
        <f>(M34-0.3)/(0.4-0.3)</f>
        <v>-0.18988830099941173</v>
      </c>
      <c r="O34" s="77"/>
    </row>
    <row r="35" spans="1:15">
      <c r="B35" s="336" t="s">
        <v>742</v>
      </c>
      <c r="C35" s="337"/>
      <c r="D35" s="338">
        <v>748</v>
      </c>
      <c r="E35" s="338">
        <v>1496</v>
      </c>
      <c r="F35" s="338">
        <f t="shared" si="8"/>
        <v>2244</v>
      </c>
      <c r="G35" s="338">
        <v>718</v>
      </c>
      <c r="H35" s="338">
        <v>1355</v>
      </c>
      <c r="I35" s="338">
        <f t="shared" si="9"/>
        <v>2073</v>
      </c>
      <c r="J35" s="338">
        <v>475</v>
      </c>
      <c r="K35" s="338">
        <v>1117</v>
      </c>
      <c r="L35" s="338">
        <f t="shared" si="10"/>
        <v>1592</v>
      </c>
      <c r="M35" s="350">
        <f t="shared" si="11"/>
        <v>0.33333333333333331</v>
      </c>
      <c r="O35" s="67"/>
    </row>
    <row r="36" spans="1:15">
      <c r="C36" s="70"/>
      <c r="D36" s="579"/>
      <c r="E36" s="579"/>
      <c r="F36" s="580"/>
      <c r="G36" s="581"/>
      <c r="H36" s="581"/>
      <c r="I36" s="581"/>
      <c r="J36" s="579"/>
      <c r="K36" s="579"/>
      <c r="L36" s="579"/>
      <c r="M36" s="67"/>
      <c r="O36" s="67"/>
    </row>
    <row r="37" spans="1:15">
      <c r="B37" s="320" t="s">
        <v>743</v>
      </c>
      <c r="C37" s="303"/>
      <c r="D37" s="298">
        <v>0</v>
      </c>
      <c r="E37" s="298">
        <v>0</v>
      </c>
      <c r="F37" s="298">
        <f>D37+E37</f>
        <v>0</v>
      </c>
      <c r="G37" s="298">
        <v>0</v>
      </c>
      <c r="H37" s="298">
        <v>0</v>
      </c>
      <c r="I37" s="298">
        <f>G37+H37</f>
        <v>0</v>
      </c>
      <c r="J37" s="298">
        <v>1</v>
      </c>
      <c r="K37" s="298">
        <v>0</v>
      </c>
      <c r="L37" s="298">
        <v>1</v>
      </c>
      <c r="M37" s="67"/>
      <c r="O37" s="67"/>
    </row>
    <row r="38" spans="1:15">
      <c r="B38" s="320" t="s">
        <v>744</v>
      </c>
      <c r="C38" s="303"/>
      <c r="D38" s="298">
        <v>0</v>
      </c>
      <c r="E38" s="298">
        <v>3</v>
      </c>
      <c r="F38" s="298">
        <f>D38+E38</f>
        <v>3</v>
      </c>
      <c r="G38" s="298">
        <v>0</v>
      </c>
      <c r="H38" s="298">
        <v>3</v>
      </c>
      <c r="I38" s="298">
        <f>G38+H38</f>
        <v>3</v>
      </c>
      <c r="J38" s="298">
        <v>0</v>
      </c>
      <c r="K38" s="298">
        <v>2</v>
      </c>
      <c r="L38" s="298">
        <v>2</v>
      </c>
      <c r="M38" s="67"/>
      <c r="O38" s="67"/>
    </row>
    <row r="39" spans="1:15">
      <c r="B39" s="320" t="s">
        <v>745</v>
      </c>
      <c r="C39" s="303"/>
      <c r="D39" s="298">
        <v>0</v>
      </c>
      <c r="E39" s="298">
        <v>2</v>
      </c>
      <c r="F39" s="298">
        <f>D39+E39</f>
        <v>2</v>
      </c>
      <c r="G39" s="298">
        <v>0</v>
      </c>
      <c r="H39" s="298">
        <v>2</v>
      </c>
      <c r="I39" s="298">
        <f>G39+H39</f>
        <v>2</v>
      </c>
      <c r="J39" s="298">
        <v>2</v>
      </c>
      <c r="K39" s="298">
        <v>4</v>
      </c>
      <c r="L39" s="298">
        <v>6</v>
      </c>
      <c r="M39" s="67"/>
      <c r="O39" s="67"/>
    </row>
    <row r="40" spans="1:15">
      <c r="B40" s="320" t="s">
        <v>746</v>
      </c>
      <c r="C40" s="303"/>
      <c r="D40" s="298">
        <v>3</v>
      </c>
      <c r="E40" s="298">
        <v>1</v>
      </c>
      <c r="F40" s="298">
        <f>D40+E40</f>
        <v>4</v>
      </c>
      <c r="G40" s="298">
        <v>3</v>
      </c>
      <c r="H40" s="298">
        <v>1</v>
      </c>
      <c r="I40" s="298">
        <f>G40+H40</f>
        <v>4</v>
      </c>
      <c r="J40" s="298">
        <v>0</v>
      </c>
      <c r="K40" s="298">
        <v>0</v>
      </c>
      <c r="L40" s="298">
        <v>0</v>
      </c>
      <c r="M40" s="67"/>
      <c r="O40" s="67"/>
    </row>
    <row r="41" spans="1:15">
      <c r="B41" s="321" t="s">
        <v>747</v>
      </c>
      <c r="C41" s="322"/>
      <c r="D41" s="300">
        <f t="shared" ref="D41:K41" si="12">SUM(D37:D40)</f>
        <v>3</v>
      </c>
      <c r="E41" s="300">
        <f t="shared" si="12"/>
        <v>6</v>
      </c>
      <c r="F41" s="300">
        <f t="shared" si="12"/>
        <v>9</v>
      </c>
      <c r="G41" s="300">
        <f t="shared" si="12"/>
        <v>3</v>
      </c>
      <c r="H41" s="300">
        <f t="shared" si="12"/>
        <v>6</v>
      </c>
      <c r="I41" s="300">
        <f t="shared" si="12"/>
        <v>9</v>
      </c>
      <c r="J41" s="300">
        <f t="shared" si="12"/>
        <v>3</v>
      </c>
      <c r="K41" s="300">
        <f t="shared" si="12"/>
        <v>6</v>
      </c>
      <c r="L41" s="300">
        <v>9</v>
      </c>
      <c r="M41" s="350">
        <f>D41/F41</f>
        <v>0.33333333333333331</v>
      </c>
      <c r="O41" s="67"/>
    </row>
    <row r="42" spans="1:15">
      <c r="C42" s="70"/>
      <c r="D42" s="582"/>
      <c r="E42" s="582"/>
      <c r="F42" s="580"/>
      <c r="G42" s="580"/>
      <c r="H42" s="580"/>
      <c r="I42" s="580"/>
      <c r="J42" s="582"/>
      <c r="K42" s="582"/>
      <c r="L42" s="582"/>
      <c r="M42" s="67"/>
      <c r="O42" s="67"/>
    </row>
    <row r="43" spans="1:15" ht="21.65" customHeight="1">
      <c r="B43" s="279" t="s">
        <v>748</v>
      </c>
      <c r="C43" s="1469" t="s">
        <v>749</v>
      </c>
      <c r="D43" s="298">
        <v>640</v>
      </c>
      <c r="E43" s="298">
        <v>1388</v>
      </c>
      <c r="F43" s="298">
        <f>D43+E43</f>
        <v>2028</v>
      </c>
      <c r="G43" s="359">
        <v>719</v>
      </c>
      <c r="H43" s="359">
        <v>1509</v>
      </c>
      <c r="I43" s="359">
        <f>G43+H43</f>
        <v>2228</v>
      </c>
      <c r="J43" s="359">
        <v>730</v>
      </c>
      <c r="K43" s="359">
        <v>1608</v>
      </c>
      <c r="L43" s="359">
        <f>J43+K43</f>
        <v>2338</v>
      </c>
      <c r="M43" s="350">
        <f>D43/F43</f>
        <v>0.31558185404339251</v>
      </c>
      <c r="O43" s="67"/>
    </row>
    <row r="44" spans="1:15" ht="21.65" customHeight="1">
      <c r="B44" s="279" t="s">
        <v>750</v>
      </c>
      <c r="C44" s="1469"/>
      <c r="D44" s="298">
        <v>1971</v>
      </c>
      <c r="E44" s="298">
        <v>4463</v>
      </c>
      <c r="F44" s="298">
        <f>D44+E44</f>
        <v>6434</v>
      </c>
      <c r="G44" s="1489">
        <v>2477</v>
      </c>
      <c r="H44" s="1489">
        <v>6050</v>
      </c>
      <c r="I44" s="1489">
        <f>G44+H44</f>
        <v>8527</v>
      </c>
      <c r="J44" s="1489">
        <v>2331</v>
      </c>
      <c r="K44" s="1489">
        <v>5927</v>
      </c>
      <c r="L44" s="1489">
        <f>J44+K44</f>
        <v>8258</v>
      </c>
      <c r="M44" s="350">
        <f>D44/F44</f>
        <v>0.30634131178116258</v>
      </c>
      <c r="O44" s="67"/>
    </row>
    <row r="45" spans="1:15" ht="21.65" customHeight="1">
      <c r="A45" s="12"/>
      <c r="B45" s="279" t="s">
        <v>751</v>
      </c>
      <c r="C45" s="1469"/>
      <c r="D45" s="298">
        <v>962</v>
      </c>
      <c r="E45" s="298">
        <v>2456</v>
      </c>
      <c r="F45" s="298">
        <f>D45+E45</f>
        <v>3418</v>
      </c>
      <c r="G45" s="1490"/>
      <c r="H45" s="1490"/>
      <c r="I45" s="1490"/>
      <c r="J45" s="1490"/>
      <c r="K45" s="1490"/>
      <c r="L45" s="1490"/>
      <c r="M45" s="350">
        <f>D45/F45</f>
        <v>0.28145114101813928</v>
      </c>
      <c r="O45" s="67"/>
    </row>
    <row r="46" spans="1:15" ht="21.65" customHeight="1">
      <c r="A46" s="377"/>
      <c r="B46" s="279" t="s">
        <v>752</v>
      </c>
      <c r="C46" s="1469"/>
      <c r="D46" s="298">
        <v>123</v>
      </c>
      <c r="E46" s="298">
        <v>434</v>
      </c>
      <c r="F46" s="298">
        <f>D46+E46</f>
        <v>557</v>
      </c>
      <c r="G46" s="359">
        <v>703</v>
      </c>
      <c r="H46" s="359">
        <v>1972</v>
      </c>
      <c r="I46" s="359">
        <f>G46+H46</f>
        <v>2675</v>
      </c>
      <c r="J46" s="359">
        <v>722</v>
      </c>
      <c r="K46" s="359">
        <v>2322</v>
      </c>
      <c r="L46" s="359">
        <f>J46+K46</f>
        <v>3044</v>
      </c>
      <c r="M46" s="350">
        <f>D46/F46</f>
        <v>0.22082585278276481</v>
      </c>
      <c r="O46" s="67"/>
    </row>
    <row r="47" spans="1:15" s="78" customFormat="1" ht="27">
      <c r="A47" s="378"/>
      <c r="B47" s="200" t="s">
        <v>730</v>
      </c>
      <c r="C47" s="299" t="s">
        <v>753</v>
      </c>
      <c r="D47" s="304">
        <f t="shared" ref="D47:L47" si="13">SUM(D43:D46)</f>
        <v>3696</v>
      </c>
      <c r="E47" s="304">
        <f t="shared" si="13"/>
        <v>8741</v>
      </c>
      <c r="F47" s="304">
        <f t="shared" si="13"/>
        <v>12437</v>
      </c>
      <c r="G47" s="360">
        <f t="shared" si="13"/>
        <v>3899</v>
      </c>
      <c r="H47" s="360">
        <f t="shared" si="13"/>
        <v>9531</v>
      </c>
      <c r="I47" s="360">
        <f t="shared" si="13"/>
        <v>13430</v>
      </c>
      <c r="J47" s="360">
        <f t="shared" si="13"/>
        <v>3783</v>
      </c>
      <c r="K47" s="360">
        <f t="shared" si="13"/>
        <v>9857</v>
      </c>
      <c r="L47" s="360">
        <f t="shared" si="13"/>
        <v>13640</v>
      </c>
      <c r="M47" s="350">
        <f>D47/F47</f>
        <v>0.2971777759909946</v>
      </c>
      <c r="O47" s="79"/>
    </row>
    <row r="48" spans="1:15">
      <c r="B48" s="103"/>
      <c r="C48" s="318"/>
      <c r="D48" s="580"/>
      <c r="E48" s="580"/>
      <c r="F48" s="580"/>
      <c r="G48" s="580"/>
      <c r="H48" s="580"/>
      <c r="I48" s="580"/>
      <c r="J48" s="582"/>
      <c r="K48" s="582"/>
      <c r="L48" s="582"/>
      <c r="M48" s="67"/>
      <c r="O48" s="67"/>
    </row>
    <row r="49" spans="2:16" ht="16.5" customHeight="1">
      <c r="B49" s="175" t="s">
        <v>742</v>
      </c>
      <c r="C49" s="487" t="s">
        <v>754</v>
      </c>
      <c r="D49" s="306">
        <v>748</v>
      </c>
      <c r="E49" s="306">
        <v>1496</v>
      </c>
      <c r="F49" s="307">
        <f>D49+E49</f>
        <v>2244</v>
      </c>
      <c r="G49" s="298">
        <v>718</v>
      </c>
      <c r="H49" s="298">
        <v>1355</v>
      </c>
      <c r="I49" s="298">
        <f>G49+H49</f>
        <v>2073</v>
      </c>
      <c r="J49" s="298">
        <v>475</v>
      </c>
      <c r="K49" s="298">
        <v>1117</v>
      </c>
      <c r="L49" s="298">
        <f>J49+K49</f>
        <v>1592</v>
      </c>
      <c r="M49" s="67"/>
      <c r="O49" s="67"/>
    </row>
    <row r="50" spans="2:16" ht="17.25" customHeight="1">
      <c r="B50" s="175" t="s">
        <v>755</v>
      </c>
      <c r="C50" s="487" t="s">
        <v>756</v>
      </c>
      <c r="D50" s="308">
        <v>449</v>
      </c>
      <c r="E50" s="308">
        <v>1082</v>
      </c>
      <c r="F50" s="307">
        <f>D50+E50</f>
        <v>1531</v>
      </c>
      <c r="G50" s="302">
        <v>444</v>
      </c>
      <c r="H50" s="302">
        <v>1115</v>
      </c>
      <c r="I50" s="302">
        <f>G50+H50</f>
        <v>1559</v>
      </c>
      <c r="J50" s="302">
        <v>317</v>
      </c>
      <c r="K50" s="302">
        <v>797</v>
      </c>
      <c r="L50" s="302">
        <f>J50+K50</f>
        <v>1114</v>
      </c>
      <c r="M50" s="67"/>
      <c r="O50" s="67"/>
    </row>
    <row r="51" spans="2:16" ht="23.25" customHeight="1">
      <c r="B51" s="175" t="s">
        <v>757</v>
      </c>
      <c r="C51" s="1469" t="s">
        <v>758</v>
      </c>
      <c r="D51" s="308">
        <v>375</v>
      </c>
      <c r="E51" s="308">
        <v>996</v>
      </c>
      <c r="F51" s="307">
        <f>D51+E51</f>
        <v>1371</v>
      </c>
      <c r="G51" s="302">
        <v>115</v>
      </c>
      <c r="H51" s="302">
        <v>396</v>
      </c>
      <c r="I51" s="302">
        <f>G51+H51</f>
        <v>511</v>
      </c>
      <c r="J51" s="302">
        <v>230</v>
      </c>
      <c r="K51" s="302">
        <v>782</v>
      </c>
      <c r="L51" s="302">
        <f>J51+K51</f>
        <v>1012</v>
      </c>
      <c r="M51" s="67"/>
      <c r="O51" s="67"/>
    </row>
    <row r="52" spans="2:16" ht="26.25" customHeight="1">
      <c r="B52" s="208" t="s">
        <v>759</v>
      </c>
      <c r="C52" s="1469"/>
      <c r="D52" s="366">
        <v>125</v>
      </c>
      <c r="E52" s="366">
        <v>375</v>
      </c>
      <c r="F52" s="366">
        <f>D52+E52</f>
        <v>500</v>
      </c>
      <c r="G52" s="1470"/>
      <c r="H52" s="1471"/>
      <c r="I52" s="1472"/>
      <c r="J52" s="1470"/>
      <c r="K52" s="1471"/>
      <c r="L52" s="1472"/>
      <c r="M52" s="67"/>
      <c r="O52" s="67"/>
    </row>
    <row r="53" spans="2:16" ht="40.5">
      <c r="B53" s="208" t="s">
        <v>760</v>
      </c>
      <c r="C53" s="487" t="s">
        <v>761</v>
      </c>
      <c r="D53" s="309">
        <v>0.123</v>
      </c>
      <c r="E53" s="309">
        <v>0.121</v>
      </c>
      <c r="F53" s="309">
        <v>0.122</v>
      </c>
      <c r="G53" s="1473">
        <v>0.11550000000000001</v>
      </c>
      <c r="H53" s="1474"/>
      <c r="I53" s="1475"/>
      <c r="J53" s="1473">
        <v>8.2000000000000003E-2</v>
      </c>
      <c r="K53" s="1474"/>
      <c r="L53" s="1475"/>
      <c r="M53" s="67"/>
      <c r="O53" s="67"/>
    </row>
    <row r="54" spans="2:16" ht="28.5" customHeight="1">
      <c r="B54" s="208" t="s">
        <v>762</v>
      </c>
      <c r="C54" s="1469" t="s">
        <v>763</v>
      </c>
      <c r="D54" s="309">
        <v>0.10299999999999999</v>
      </c>
      <c r="E54" s="309">
        <v>0.111</v>
      </c>
      <c r="F54" s="309">
        <v>0.109</v>
      </c>
      <c r="G54" s="1473">
        <v>3.7900000000000003E-2</v>
      </c>
      <c r="H54" s="1474"/>
      <c r="I54" s="1475"/>
      <c r="J54" s="1473">
        <v>7.4999999999999997E-2</v>
      </c>
      <c r="K54" s="1474"/>
      <c r="L54" s="1475"/>
      <c r="M54" s="67"/>
      <c r="O54" s="67"/>
    </row>
    <row r="55" spans="2:16" ht="35.15" customHeight="1">
      <c r="B55" s="208" t="s">
        <v>764</v>
      </c>
      <c r="C55" s="1469"/>
      <c r="D55" s="367">
        <v>3.4000000000000002E-2</v>
      </c>
      <c r="E55" s="367">
        <v>3.7999999999999999E-2</v>
      </c>
      <c r="F55" s="367">
        <v>3.6999999999999998E-2</v>
      </c>
      <c r="G55" s="1476">
        <v>3.8199999999999998E-2</v>
      </c>
      <c r="H55" s="1477"/>
      <c r="I55" s="1478"/>
      <c r="J55" s="1479">
        <v>7.5999999999999998E-2</v>
      </c>
      <c r="K55" s="1480"/>
      <c r="L55" s="1481"/>
      <c r="M55" s="67"/>
      <c r="O55" s="67"/>
    </row>
    <row r="56" spans="2:16" ht="30" customHeight="1">
      <c r="B56" s="208" t="s">
        <v>765</v>
      </c>
      <c r="C56" s="1482" t="s">
        <v>766</v>
      </c>
      <c r="D56" s="309">
        <f>D53+D54</f>
        <v>0.22599999999999998</v>
      </c>
      <c r="E56" s="309">
        <f>E53+E54</f>
        <v>0.23199999999999998</v>
      </c>
      <c r="F56" s="309">
        <f>F53+F54</f>
        <v>0.23099999999999998</v>
      </c>
      <c r="G56" s="1484">
        <f>G53+G54</f>
        <v>0.15340000000000001</v>
      </c>
      <c r="H56" s="1485"/>
      <c r="I56" s="1486"/>
      <c r="J56" s="1484">
        <f>J53+J54</f>
        <v>0.157</v>
      </c>
      <c r="K56" s="1485"/>
      <c r="L56" s="1486"/>
      <c r="M56" s="67"/>
      <c r="O56" s="67"/>
    </row>
    <row r="57" spans="2:16" ht="30" customHeight="1">
      <c r="B57" s="208" t="s">
        <v>767</v>
      </c>
      <c r="C57" s="1483"/>
      <c r="D57" s="367">
        <f>D53+D55</f>
        <v>0.157</v>
      </c>
      <c r="E57" s="367">
        <f>E53+E55</f>
        <v>0.159</v>
      </c>
      <c r="F57" s="367">
        <f>F53+F55</f>
        <v>0.159</v>
      </c>
      <c r="G57" s="1476">
        <f>G53+G55</f>
        <v>0.1537</v>
      </c>
      <c r="H57" s="1477"/>
      <c r="I57" s="1478"/>
      <c r="J57" s="1476">
        <f>J53+J55</f>
        <v>0.158</v>
      </c>
      <c r="K57" s="1477"/>
      <c r="L57" s="1478"/>
      <c r="M57" s="67"/>
      <c r="O57" s="67"/>
    </row>
    <row r="58" spans="2:16">
      <c r="B58" s="68" t="s">
        <v>768</v>
      </c>
      <c r="C58" s="103"/>
      <c r="D58" s="69"/>
      <c r="E58" s="69"/>
      <c r="F58" s="69"/>
      <c r="G58" s="69"/>
      <c r="H58" s="69"/>
      <c r="I58" s="69"/>
      <c r="J58" s="69"/>
      <c r="K58" s="69"/>
      <c r="L58" s="69"/>
      <c r="M58" s="69"/>
      <c r="O58" s="67"/>
      <c r="P58" s="67"/>
    </row>
    <row r="59" spans="2:16">
      <c r="B59" s="67"/>
      <c r="C59" s="67"/>
      <c r="D59" s="67"/>
      <c r="E59" s="67"/>
      <c r="F59" s="67"/>
      <c r="G59" s="67"/>
      <c r="H59" s="67"/>
      <c r="I59" s="67"/>
      <c r="J59" s="67"/>
      <c r="K59" s="67"/>
      <c r="L59" s="67"/>
      <c r="M59" s="67"/>
      <c r="O59" s="67"/>
    </row>
    <row r="60" spans="2:16" s="87" customFormat="1" ht="17.5" hidden="1" customHeight="1">
      <c r="B60" s="81" t="s">
        <v>769</v>
      </c>
      <c r="C60" s="82" t="s">
        <v>662</v>
      </c>
      <c r="D60" s="83" t="s">
        <v>427</v>
      </c>
      <c r="E60" s="83" t="s">
        <v>412</v>
      </c>
      <c r="F60" s="83" t="s">
        <v>406</v>
      </c>
      <c r="G60" s="84"/>
      <c r="H60" s="85"/>
      <c r="I60" s="85"/>
      <c r="J60" s="84"/>
      <c r="K60" s="85"/>
      <c r="L60" s="85"/>
      <c r="M60" s="86"/>
      <c r="O60" s="86"/>
    </row>
    <row r="61" spans="2:16" s="87" customFormat="1" ht="17.5" hidden="1" customHeight="1">
      <c r="B61" s="88" t="s">
        <v>770</v>
      </c>
      <c r="C61" s="82"/>
      <c r="D61" s="89"/>
      <c r="E61" s="89"/>
      <c r="F61" s="89"/>
      <c r="G61" s="84"/>
      <c r="H61" s="85"/>
      <c r="I61" s="85"/>
      <c r="J61" s="84"/>
      <c r="K61" s="85"/>
      <c r="L61" s="85"/>
      <c r="M61" s="86"/>
      <c r="O61" s="86"/>
    </row>
    <row r="62" spans="2:16" s="87" customFormat="1" ht="17.5" hidden="1" customHeight="1">
      <c r="B62" s="90" t="s">
        <v>718</v>
      </c>
      <c r="C62" s="1403" t="s">
        <v>771</v>
      </c>
      <c r="D62" s="91"/>
      <c r="E62" s="91"/>
      <c r="F62" s="91"/>
      <c r="G62" s="86"/>
      <c r="H62" s="86"/>
      <c r="I62" s="86"/>
      <c r="J62" s="86"/>
      <c r="K62" s="86"/>
      <c r="L62" s="86"/>
      <c r="M62" s="86"/>
      <c r="O62" s="86"/>
    </row>
    <row r="63" spans="2:16" s="87" customFormat="1" ht="17.5" hidden="1" customHeight="1">
      <c r="B63" s="90" t="s">
        <v>720</v>
      </c>
      <c r="C63" s="1403"/>
      <c r="D63" s="91"/>
      <c r="E63" s="91"/>
      <c r="F63" s="91"/>
      <c r="G63" s="86"/>
      <c r="H63" s="86"/>
      <c r="I63" s="86"/>
      <c r="J63" s="86"/>
      <c r="K63" s="86"/>
      <c r="L63" s="86"/>
      <c r="M63" s="86"/>
      <c r="O63" s="86"/>
    </row>
    <row r="64" spans="2:16" s="87" customFormat="1" ht="17.5" hidden="1" customHeight="1">
      <c r="B64" s="90" t="s">
        <v>721</v>
      </c>
      <c r="C64" s="1403"/>
      <c r="D64" s="91"/>
      <c r="E64" s="91"/>
      <c r="F64" s="91"/>
      <c r="G64" s="86"/>
      <c r="H64" s="86"/>
      <c r="I64" s="86"/>
      <c r="J64" s="86"/>
      <c r="K64" s="86"/>
      <c r="L64" s="86"/>
      <c r="M64" s="86"/>
      <c r="O64" s="86"/>
    </row>
    <row r="65" spans="2:15" s="87" customFormat="1" ht="17.5" hidden="1" customHeight="1">
      <c r="B65" s="90" t="s">
        <v>722</v>
      </c>
      <c r="C65" s="1403"/>
      <c r="D65" s="91"/>
      <c r="E65" s="91"/>
      <c r="F65" s="91"/>
      <c r="G65" s="86"/>
      <c r="H65" s="86"/>
      <c r="I65" s="86"/>
      <c r="J65" s="86"/>
      <c r="K65" s="86"/>
      <c r="L65" s="86"/>
      <c r="M65" s="86"/>
      <c r="O65" s="86"/>
    </row>
    <row r="66" spans="2:15" s="87" customFormat="1" ht="17.5" hidden="1" customHeight="1">
      <c r="B66" s="90" t="s">
        <v>723</v>
      </c>
      <c r="C66" s="1403"/>
      <c r="D66" s="91"/>
      <c r="E66" s="91"/>
      <c r="F66" s="91"/>
      <c r="G66" s="86"/>
      <c r="H66" s="86"/>
      <c r="I66" s="86"/>
      <c r="J66" s="86"/>
      <c r="K66" s="86"/>
      <c r="L66" s="86"/>
      <c r="M66" s="86"/>
      <c r="O66" s="86"/>
    </row>
    <row r="67" spans="2:15" s="87" customFormat="1" ht="17.5" hidden="1" customHeight="1">
      <c r="B67" s="92" t="s">
        <v>724</v>
      </c>
      <c r="C67" s="1403"/>
      <c r="D67" s="91">
        <f>SUM(D62:D66)</f>
        <v>0</v>
      </c>
      <c r="E67" s="91">
        <f>SUM(E62:E66)</f>
        <v>0</v>
      </c>
      <c r="F67" s="91">
        <f>SUM(F62:F66)</f>
        <v>0</v>
      </c>
      <c r="G67" s="86"/>
      <c r="H67" s="86"/>
      <c r="I67" s="86"/>
      <c r="J67" s="86"/>
      <c r="K67" s="86"/>
      <c r="L67" s="86"/>
      <c r="M67" s="86"/>
      <c r="O67" s="86"/>
    </row>
    <row r="68" spans="2:15" s="87" customFormat="1" ht="17.5" hidden="1" customHeight="1">
      <c r="B68" s="93" t="s">
        <v>772</v>
      </c>
      <c r="C68" s="489"/>
      <c r="D68" s="91"/>
      <c r="E68" s="91"/>
      <c r="F68" s="91"/>
      <c r="G68" s="86"/>
      <c r="H68" s="86"/>
      <c r="I68" s="86"/>
      <c r="J68" s="86"/>
      <c r="K68" s="86"/>
      <c r="L68" s="86"/>
      <c r="M68" s="86"/>
      <c r="O68" s="86"/>
    </row>
    <row r="69" spans="2:15" s="87" customFormat="1" ht="17.5" hidden="1" customHeight="1">
      <c r="B69" s="90" t="s">
        <v>718</v>
      </c>
      <c r="C69" s="1403" t="s">
        <v>773</v>
      </c>
      <c r="D69" s="91">
        <v>376</v>
      </c>
      <c r="E69" s="91"/>
      <c r="F69" s="91"/>
      <c r="G69" s="86"/>
      <c r="H69" s="86"/>
      <c r="I69" s="86"/>
      <c r="J69" s="86"/>
      <c r="K69" s="86"/>
      <c r="L69" s="86"/>
      <c r="M69" s="86"/>
      <c r="O69" s="86"/>
    </row>
    <row r="70" spans="2:15" s="87" customFormat="1" ht="17.5" hidden="1" customHeight="1">
      <c r="B70" s="90" t="s">
        <v>720</v>
      </c>
      <c r="C70" s="1403"/>
      <c r="D70" s="91">
        <v>316</v>
      </c>
      <c r="E70" s="91"/>
      <c r="F70" s="91"/>
      <c r="G70" s="86"/>
      <c r="H70" s="86"/>
      <c r="I70" s="86"/>
      <c r="J70" s="86"/>
      <c r="K70" s="86"/>
      <c r="L70" s="86"/>
      <c r="M70" s="86"/>
      <c r="O70" s="86"/>
    </row>
    <row r="71" spans="2:15" s="87" customFormat="1" ht="17.5" hidden="1" customHeight="1">
      <c r="B71" s="90" t="s">
        <v>721</v>
      </c>
      <c r="C71" s="1403"/>
      <c r="D71" s="91">
        <v>72</v>
      </c>
      <c r="E71" s="91"/>
      <c r="F71" s="91"/>
      <c r="G71" s="86"/>
      <c r="H71" s="86"/>
      <c r="I71" s="86"/>
      <c r="J71" s="86"/>
      <c r="K71" s="86"/>
      <c r="L71" s="86"/>
      <c r="M71" s="86"/>
      <c r="O71" s="86"/>
    </row>
    <row r="72" spans="2:15" s="87" customFormat="1" ht="17.5" hidden="1" customHeight="1">
      <c r="B72" s="90" t="s">
        <v>722</v>
      </c>
      <c r="C72" s="1403"/>
      <c r="D72" s="91">
        <v>142</v>
      </c>
      <c r="E72" s="91"/>
      <c r="F72" s="91"/>
      <c r="G72" s="86"/>
      <c r="H72" s="86"/>
      <c r="I72" s="86"/>
      <c r="J72" s="86"/>
      <c r="K72" s="86"/>
      <c r="L72" s="86"/>
      <c r="M72" s="86"/>
      <c r="O72" s="86"/>
    </row>
    <row r="73" spans="2:15" s="87" customFormat="1" ht="17.5" hidden="1" customHeight="1">
      <c r="B73" s="90" t="s">
        <v>723</v>
      </c>
      <c r="C73" s="1403"/>
      <c r="D73" s="91">
        <v>43</v>
      </c>
      <c r="E73" s="91"/>
      <c r="F73" s="91"/>
      <c r="G73" s="86"/>
      <c r="H73" s="86"/>
      <c r="I73" s="86"/>
      <c r="J73" s="86"/>
      <c r="K73" s="86"/>
      <c r="L73" s="86"/>
      <c r="M73" s="86"/>
      <c r="O73" s="86"/>
    </row>
    <row r="74" spans="2:15" s="87" customFormat="1" ht="17.5" hidden="1" customHeight="1">
      <c r="B74" s="92" t="s">
        <v>724</v>
      </c>
      <c r="C74" s="1403"/>
      <c r="D74" s="91">
        <f>SUM(D69:D73)</f>
        <v>949</v>
      </c>
      <c r="E74" s="91">
        <f>SUM(E69:E73)</f>
        <v>0</v>
      </c>
      <c r="F74" s="91">
        <f>SUM(F69:F73)</f>
        <v>0</v>
      </c>
      <c r="G74" s="86"/>
      <c r="H74" s="86"/>
      <c r="I74" s="86"/>
      <c r="J74" s="86"/>
      <c r="K74" s="86"/>
      <c r="L74" s="86"/>
      <c r="M74" s="86"/>
      <c r="O74" s="86"/>
    </row>
    <row r="75" spans="2:15" s="87" customFormat="1" ht="17.5" hidden="1" customHeight="1">
      <c r="B75" s="93" t="s">
        <v>774</v>
      </c>
      <c r="C75" s="489"/>
      <c r="D75" s="91"/>
      <c r="E75" s="91"/>
      <c r="F75" s="91"/>
      <c r="G75" s="86"/>
      <c r="H75" s="86"/>
      <c r="I75" s="86"/>
      <c r="J75" s="86"/>
      <c r="K75" s="86"/>
      <c r="L75" s="86"/>
      <c r="M75" s="86"/>
      <c r="O75" s="86"/>
    </row>
    <row r="76" spans="2:15" s="87" customFormat="1" ht="17.5" hidden="1" customHeight="1">
      <c r="B76" s="90" t="s">
        <v>718</v>
      </c>
      <c r="C76" s="1403" t="s">
        <v>775</v>
      </c>
      <c r="D76" s="91"/>
      <c r="E76" s="91"/>
      <c r="F76" s="91"/>
      <c r="G76" s="86"/>
      <c r="H76" s="86"/>
      <c r="I76" s="86"/>
      <c r="J76" s="86"/>
      <c r="K76" s="86"/>
      <c r="L76" s="86"/>
      <c r="M76" s="86"/>
      <c r="O76" s="86"/>
    </row>
    <row r="77" spans="2:15" s="87" customFormat="1" ht="17.5" hidden="1" customHeight="1">
      <c r="B77" s="90" t="s">
        <v>720</v>
      </c>
      <c r="C77" s="1403"/>
      <c r="D77" s="91"/>
      <c r="E77" s="91"/>
      <c r="F77" s="91"/>
      <c r="G77" s="86"/>
      <c r="H77" s="86"/>
      <c r="I77" s="86"/>
      <c r="J77" s="86"/>
      <c r="K77" s="86"/>
      <c r="L77" s="86"/>
      <c r="M77" s="86"/>
      <c r="O77" s="86"/>
    </row>
    <row r="78" spans="2:15" s="87" customFormat="1" ht="17.5" hidden="1" customHeight="1">
      <c r="B78" s="90" t="s">
        <v>721</v>
      </c>
      <c r="C78" s="1403"/>
      <c r="D78" s="91"/>
      <c r="E78" s="91"/>
      <c r="F78" s="91"/>
      <c r="G78" s="86"/>
      <c r="H78" s="86"/>
      <c r="I78" s="86"/>
      <c r="J78" s="86"/>
      <c r="K78" s="86"/>
      <c r="L78" s="86"/>
      <c r="M78" s="86"/>
      <c r="O78" s="86"/>
    </row>
    <row r="79" spans="2:15" s="87" customFormat="1" ht="17.5" hidden="1" customHeight="1">
      <c r="B79" s="90" t="s">
        <v>722</v>
      </c>
      <c r="C79" s="1403"/>
      <c r="D79" s="91"/>
      <c r="E79" s="91"/>
      <c r="F79" s="91"/>
      <c r="G79" s="86"/>
      <c r="H79" s="86"/>
      <c r="I79" s="86"/>
      <c r="J79" s="86"/>
      <c r="K79" s="86"/>
      <c r="L79" s="86"/>
      <c r="M79" s="86"/>
      <c r="O79" s="86"/>
    </row>
    <row r="80" spans="2:15" s="87" customFormat="1" ht="17.5" hidden="1" customHeight="1">
      <c r="B80" s="90" t="s">
        <v>723</v>
      </c>
      <c r="C80" s="1403"/>
      <c r="D80" s="91"/>
      <c r="E80" s="91"/>
      <c r="F80" s="91"/>
      <c r="G80" s="86"/>
      <c r="H80" s="86"/>
      <c r="I80" s="86"/>
      <c r="J80" s="86"/>
      <c r="K80" s="86"/>
      <c r="L80" s="86"/>
      <c r="M80" s="86"/>
      <c r="O80" s="86"/>
    </row>
    <row r="81" spans="1:15" s="87" customFormat="1" ht="17.5" hidden="1" customHeight="1">
      <c r="B81" s="92" t="s">
        <v>724</v>
      </c>
      <c r="C81" s="1403"/>
      <c r="D81" s="91">
        <f>SUM(D76:D80)</f>
        <v>0</v>
      </c>
      <c r="E81" s="91">
        <f>SUM(E76:E80)</f>
        <v>0</v>
      </c>
      <c r="F81" s="91">
        <f>SUM(F76:F80)</f>
        <v>0</v>
      </c>
      <c r="G81" s="86"/>
      <c r="H81" s="86"/>
      <c r="I81" s="86"/>
      <c r="J81" s="86"/>
      <c r="K81" s="86"/>
      <c r="L81" s="86"/>
      <c r="M81" s="86"/>
      <c r="O81" s="86"/>
    </row>
    <row r="82" spans="1:15" s="87" customFormat="1" ht="17.5" hidden="1" customHeight="1">
      <c r="B82" s="94" t="s">
        <v>776</v>
      </c>
      <c r="C82" s="489"/>
      <c r="D82" s="91">
        <f>D67+D74+D81</f>
        <v>949</v>
      </c>
      <c r="E82" s="91">
        <f>E67+E74+E81</f>
        <v>0</v>
      </c>
      <c r="F82" s="91">
        <f>F67+F74+F81</f>
        <v>0</v>
      </c>
      <c r="G82" s="86"/>
      <c r="H82" s="86"/>
      <c r="I82" s="86"/>
      <c r="J82" s="86"/>
      <c r="K82" s="86"/>
      <c r="L82" s="86"/>
      <c r="M82" s="86"/>
      <c r="O82" s="86"/>
    </row>
    <row r="83" spans="1:15" ht="23.15" customHeight="1">
      <c r="A83" s="1467" t="s">
        <v>777</v>
      </c>
      <c r="B83" s="315" t="s">
        <v>769</v>
      </c>
      <c r="C83" s="317" t="s">
        <v>662</v>
      </c>
      <c r="D83" s="493" t="s">
        <v>427</v>
      </c>
      <c r="E83" s="493" t="s">
        <v>412</v>
      </c>
      <c r="F83" s="493" t="s">
        <v>406</v>
      </c>
      <c r="G83" s="67"/>
      <c r="H83" s="67"/>
      <c r="I83" s="67"/>
      <c r="J83" s="67"/>
      <c r="K83" s="67"/>
      <c r="L83" s="67"/>
      <c r="M83" s="67"/>
      <c r="O83" s="67"/>
    </row>
    <row r="84" spans="1:15">
      <c r="A84" s="1467"/>
      <c r="B84" s="295" t="s">
        <v>718</v>
      </c>
      <c r="C84" s="1468" t="s">
        <v>778</v>
      </c>
      <c r="D84" s="310">
        <v>376</v>
      </c>
      <c r="E84" s="311"/>
      <c r="F84" s="311"/>
      <c r="G84" s="67"/>
      <c r="H84" s="67"/>
      <c r="I84" s="67"/>
      <c r="J84" s="67"/>
      <c r="K84" s="67"/>
      <c r="L84" s="67"/>
      <c r="M84" s="67"/>
      <c r="O84" s="67"/>
    </row>
    <row r="85" spans="1:15">
      <c r="A85" s="1467"/>
      <c r="B85" s="295" t="s">
        <v>720</v>
      </c>
      <c r="C85" s="1468"/>
      <c r="D85" s="310">
        <v>316</v>
      </c>
      <c r="E85" s="311"/>
      <c r="F85" s="311"/>
      <c r="G85" s="67"/>
      <c r="H85" s="67"/>
      <c r="I85" s="67"/>
      <c r="J85" s="67"/>
      <c r="K85" s="67"/>
      <c r="L85" s="67"/>
      <c r="M85" s="67"/>
      <c r="O85" s="67"/>
    </row>
    <row r="86" spans="1:15">
      <c r="A86" s="1467"/>
      <c r="B86" s="295" t="s">
        <v>721</v>
      </c>
      <c r="C86" s="1468"/>
      <c r="D86" s="310">
        <v>72</v>
      </c>
      <c r="E86" s="311"/>
      <c r="F86" s="311"/>
      <c r="G86" s="67"/>
      <c r="H86" s="67"/>
      <c r="I86" s="67"/>
      <c r="J86" s="67"/>
      <c r="K86" s="67"/>
      <c r="L86" s="67"/>
      <c r="M86" s="67"/>
      <c r="O86" s="67"/>
    </row>
    <row r="87" spans="1:15">
      <c r="A87" s="1467"/>
      <c r="B87" s="295" t="s">
        <v>722</v>
      </c>
      <c r="C87" s="1468"/>
      <c r="D87" s="310">
        <v>142</v>
      </c>
      <c r="E87" s="311"/>
      <c r="F87" s="311"/>
      <c r="G87" s="67"/>
      <c r="H87" s="67"/>
      <c r="I87" s="67"/>
      <c r="J87" s="67"/>
      <c r="K87" s="67"/>
      <c r="L87" s="67"/>
      <c r="M87" s="67"/>
      <c r="O87" s="67"/>
    </row>
    <row r="88" spans="1:15">
      <c r="A88" s="1467"/>
      <c r="B88" s="295" t="s">
        <v>723</v>
      </c>
      <c r="C88" s="1468"/>
      <c r="D88" s="310">
        <v>43</v>
      </c>
      <c r="E88" s="311"/>
      <c r="F88" s="311"/>
      <c r="G88" s="67"/>
      <c r="H88" s="67"/>
      <c r="I88" s="67"/>
      <c r="J88" s="67"/>
      <c r="K88" s="67"/>
      <c r="L88" s="67"/>
      <c r="M88" s="67"/>
      <c r="O88" s="67"/>
    </row>
    <row r="89" spans="1:15">
      <c r="A89" s="1467"/>
      <c r="B89" s="296" t="s">
        <v>724</v>
      </c>
      <c r="C89" s="1468"/>
      <c r="D89" s="310">
        <f>SUM(D84:D88)</f>
        <v>949</v>
      </c>
      <c r="E89" s="311">
        <f>SUM(E84:E88)</f>
        <v>0</v>
      </c>
      <c r="F89" s="311">
        <f>SUM(F84:F88)</f>
        <v>0</v>
      </c>
      <c r="G89" s="67"/>
      <c r="H89" s="67"/>
      <c r="I89" s="67"/>
      <c r="J89" s="67"/>
      <c r="K89" s="67"/>
      <c r="L89" s="67"/>
      <c r="M89" s="67"/>
      <c r="O89" s="67"/>
    </row>
    <row r="90" spans="1:15">
      <c r="C90" s="70"/>
      <c r="D90" s="488"/>
      <c r="E90" s="488"/>
      <c r="F90" s="488"/>
      <c r="G90" s="67"/>
      <c r="H90" s="67"/>
      <c r="I90" s="67"/>
      <c r="J90" s="67"/>
      <c r="K90" s="67"/>
      <c r="L90" s="67"/>
      <c r="M90" s="67"/>
      <c r="O90" s="67"/>
    </row>
    <row r="91" spans="1:15" ht="17.5">
      <c r="B91" s="491" t="s">
        <v>779</v>
      </c>
      <c r="C91" s="317" t="s">
        <v>662</v>
      </c>
      <c r="D91" s="289" t="s">
        <v>427</v>
      </c>
      <c r="E91" s="289" t="s">
        <v>412</v>
      </c>
      <c r="F91" s="289" t="s">
        <v>406</v>
      </c>
      <c r="G91" s="67"/>
      <c r="H91" s="67"/>
      <c r="I91" s="67"/>
      <c r="J91" s="67"/>
      <c r="K91" s="67"/>
      <c r="L91" s="67"/>
      <c r="M91" s="67"/>
      <c r="O91" s="67"/>
    </row>
    <row r="92" spans="1:15" ht="27">
      <c r="B92" s="334" t="s">
        <v>780</v>
      </c>
      <c r="C92" s="312" t="s">
        <v>781</v>
      </c>
      <c r="D92" s="361">
        <f>D89+F28</f>
        <v>13587</v>
      </c>
      <c r="E92" s="361">
        <f>E89+I28</f>
        <v>13430</v>
      </c>
      <c r="F92" s="362">
        <f>F89+L28</f>
        <v>13641</v>
      </c>
      <c r="G92" s="67"/>
      <c r="H92" s="67"/>
      <c r="I92" s="67"/>
      <c r="J92" s="67"/>
      <c r="K92" s="67"/>
      <c r="L92" s="67"/>
      <c r="M92" s="67"/>
      <c r="O92" s="67"/>
    </row>
    <row r="93" spans="1:15">
      <c r="B93" s="175" t="s">
        <v>782</v>
      </c>
      <c r="C93" s="314" t="s">
        <v>731</v>
      </c>
      <c r="D93" s="180">
        <v>12666</v>
      </c>
      <c r="E93" s="180">
        <v>13497</v>
      </c>
      <c r="F93" s="180">
        <v>13546</v>
      </c>
      <c r="G93" s="67"/>
      <c r="H93" s="67"/>
      <c r="I93" s="67"/>
      <c r="J93" s="67"/>
      <c r="K93" s="67"/>
      <c r="L93" s="67"/>
      <c r="M93" s="67"/>
      <c r="O93" s="67"/>
    </row>
    <row r="94" spans="1:15">
      <c r="B94" s="175" t="s">
        <v>783</v>
      </c>
      <c r="C94" s="314" t="s">
        <v>731</v>
      </c>
      <c r="D94" s="323">
        <v>12510</v>
      </c>
      <c r="E94" s="356"/>
      <c r="F94" s="356"/>
      <c r="G94" s="67"/>
      <c r="H94" s="67"/>
      <c r="I94" s="67"/>
      <c r="J94" s="67"/>
      <c r="K94" s="67"/>
      <c r="L94" s="67"/>
      <c r="M94" s="67"/>
      <c r="O94" s="67"/>
    </row>
    <row r="95" spans="1:15">
      <c r="B95" s="67"/>
      <c r="C95" s="67"/>
      <c r="D95" s="67"/>
      <c r="E95" s="67"/>
      <c r="F95" s="67"/>
      <c r="G95" s="67"/>
      <c r="H95" s="67"/>
      <c r="I95" s="67"/>
      <c r="J95" s="67"/>
      <c r="K95" s="67"/>
      <c r="L95" s="67"/>
      <c r="M95" s="67"/>
      <c r="O95" s="67"/>
    </row>
    <row r="96" spans="1:15" ht="17.5">
      <c r="B96" s="491" t="s">
        <v>784</v>
      </c>
      <c r="C96" s="317" t="s">
        <v>662</v>
      </c>
      <c r="D96" s="1462" t="s">
        <v>427</v>
      </c>
      <c r="E96" s="1462"/>
      <c r="F96" s="1462"/>
      <c r="G96" s="1462" t="s">
        <v>412</v>
      </c>
      <c r="H96" s="1462"/>
      <c r="I96" s="1462"/>
      <c r="J96" s="1462" t="s">
        <v>406</v>
      </c>
      <c r="K96" s="1462"/>
      <c r="L96" s="1463"/>
      <c r="M96" s="67"/>
      <c r="O96" s="67"/>
    </row>
    <row r="97" spans="1:15" ht="27">
      <c r="B97" s="292" t="s">
        <v>713</v>
      </c>
      <c r="C97" s="293" t="s">
        <v>907</v>
      </c>
      <c r="D97" s="294" t="s">
        <v>714</v>
      </c>
      <c r="E97" s="294" t="s">
        <v>715</v>
      </c>
      <c r="F97" s="294" t="s">
        <v>480</v>
      </c>
      <c r="G97" s="294" t="s">
        <v>714</v>
      </c>
      <c r="H97" s="294" t="s">
        <v>715</v>
      </c>
      <c r="I97" s="294" t="s">
        <v>480</v>
      </c>
      <c r="J97" s="294" t="s">
        <v>714</v>
      </c>
      <c r="K97" s="294" t="s">
        <v>715</v>
      </c>
      <c r="L97" s="328" t="s">
        <v>480</v>
      </c>
      <c r="M97" s="67"/>
      <c r="O97" s="67"/>
    </row>
    <row r="98" spans="1:15">
      <c r="A98" s="80"/>
      <c r="B98" s="200" t="s">
        <v>785</v>
      </c>
      <c r="C98" s="297"/>
      <c r="D98" s="486"/>
      <c r="E98" s="486"/>
      <c r="F98" s="486"/>
      <c r="G98" s="486"/>
      <c r="H98" s="486"/>
      <c r="I98" s="486"/>
      <c r="J98" s="486"/>
      <c r="K98" s="486"/>
      <c r="L98" s="486"/>
      <c r="M98" s="67"/>
      <c r="O98" s="67"/>
    </row>
    <row r="99" spans="1:15">
      <c r="A99" s="80"/>
      <c r="B99" s="295" t="s">
        <v>718</v>
      </c>
      <c r="C99" s="1464" t="s">
        <v>786</v>
      </c>
      <c r="D99" s="1465">
        <v>289</v>
      </c>
      <c r="E99" s="1465">
        <v>270</v>
      </c>
      <c r="F99" s="1465">
        <f>SUM(D99:E99)</f>
        <v>559</v>
      </c>
      <c r="G99" s="1452">
        <v>342</v>
      </c>
      <c r="H99" s="1452">
        <v>407</v>
      </c>
      <c r="I99" s="1452">
        <f>SUM(G99:H99)</f>
        <v>749</v>
      </c>
      <c r="J99" s="1452">
        <v>258</v>
      </c>
      <c r="K99" s="1452">
        <v>476</v>
      </c>
      <c r="L99" s="1452">
        <v>734</v>
      </c>
      <c r="M99" s="67"/>
      <c r="O99" s="67"/>
    </row>
    <row r="100" spans="1:15">
      <c r="A100" s="80"/>
      <c r="B100" s="295" t="s">
        <v>720</v>
      </c>
      <c r="C100" s="1464"/>
      <c r="D100" s="1466"/>
      <c r="E100" s="1466"/>
      <c r="F100" s="1466"/>
      <c r="G100" s="1452"/>
      <c r="H100" s="1452"/>
      <c r="I100" s="1452"/>
      <c r="J100" s="1452"/>
      <c r="K100" s="1452"/>
      <c r="L100" s="1452"/>
      <c r="M100" s="67"/>
      <c r="O100" s="67"/>
    </row>
    <row r="101" spans="1:15">
      <c r="A101" s="80"/>
      <c r="B101" s="295" t="s">
        <v>721</v>
      </c>
      <c r="C101" s="1464"/>
      <c r="D101" s="301">
        <v>21</v>
      </c>
      <c r="E101" s="301">
        <v>49</v>
      </c>
      <c r="F101" s="301">
        <f>SUM(D101:E101)</f>
        <v>70</v>
      </c>
      <c r="G101" s="486">
        <v>3</v>
      </c>
      <c r="H101" s="486">
        <v>8</v>
      </c>
      <c r="I101" s="486">
        <f>SUM(G101:H101)</f>
        <v>11</v>
      </c>
      <c r="J101" s="486">
        <v>12</v>
      </c>
      <c r="K101" s="486">
        <v>26</v>
      </c>
      <c r="L101" s="486">
        <v>38</v>
      </c>
      <c r="M101" s="67"/>
      <c r="O101" s="67"/>
    </row>
    <row r="102" spans="1:15">
      <c r="A102" s="80"/>
      <c r="B102" s="295" t="s">
        <v>722</v>
      </c>
      <c r="C102" s="1464"/>
      <c r="D102" s="301">
        <v>16</v>
      </c>
      <c r="E102" s="301">
        <v>235</v>
      </c>
      <c r="F102" s="301">
        <f>SUM(D102:E102)</f>
        <v>251</v>
      </c>
      <c r="G102" s="486">
        <v>18</v>
      </c>
      <c r="H102" s="486">
        <v>124</v>
      </c>
      <c r="I102" s="486">
        <f>SUM(G102:H102)</f>
        <v>142</v>
      </c>
      <c r="J102" s="486">
        <v>34</v>
      </c>
      <c r="K102" s="486">
        <v>135</v>
      </c>
      <c r="L102" s="486">
        <v>169</v>
      </c>
      <c r="M102" s="67"/>
      <c r="O102" s="67"/>
    </row>
    <row r="103" spans="1:15">
      <c r="A103" s="80"/>
      <c r="B103" s="295" t="s">
        <v>723</v>
      </c>
      <c r="C103" s="1464"/>
      <c r="D103" s="301">
        <v>1</v>
      </c>
      <c r="E103" s="301">
        <v>4</v>
      </c>
      <c r="F103" s="301">
        <f>SUM(D103:E103)</f>
        <v>5</v>
      </c>
      <c r="G103" s="486">
        <v>4</v>
      </c>
      <c r="H103" s="486">
        <v>9</v>
      </c>
      <c r="I103" s="486">
        <f>SUM(G103:H103)</f>
        <v>13</v>
      </c>
      <c r="J103" s="486">
        <v>1</v>
      </c>
      <c r="K103" s="486"/>
      <c r="L103" s="486">
        <v>1</v>
      </c>
      <c r="M103" s="67"/>
      <c r="O103" s="67"/>
    </row>
    <row r="104" spans="1:15">
      <c r="A104" s="80"/>
      <c r="B104" s="296" t="s">
        <v>724</v>
      </c>
      <c r="C104" s="1464"/>
      <c r="D104" s="301">
        <f t="shared" ref="D104:L104" si="14">SUM(D99:D103)</f>
        <v>327</v>
      </c>
      <c r="E104" s="301">
        <f t="shared" si="14"/>
        <v>558</v>
      </c>
      <c r="F104" s="301">
        <f t="shared" si="14"/>
        <v>885</v>
      </c>
      <c r="G104" s="486">
        <f t="shared" si="14"/>
        <v>367</v>
      </c>
      <c r="H104" s="486">
        <f t="shared" si="14"/>
        <v>548</v>
      </c>
      <c r="I104" s="486">
        <f t="shared" si="14"/>
        <v>915</v>
      </c>
      <c r="J104" s="486">
        <f t="shared" si="14"/>
        <v>305</v>
      </c>
      <c r="K104" s="486">
        <f t="shared" si="14"/>
        <v>637</v>
      </c>
      <c r="L104" s="486">
        <f t="shared" si="14"/>
        <v>942</v>
      </c>
      <c r="M104" s="67"/>
      <c r="O104" s="67"/>
    </row>
    <row r="105" spans="1:15">
      <c r="B105" s="67"/>
      <c r="C105" s="67"/>
      <c r="D105" s="67"/>
      <c r="E105" s="67"/>
      <c r="F105" s="67"/>
      <c r="G105" s="67"/>
      <c r="H105" s="67"/>
      <c r="I105" s="67"/>
      <c r="J105" s="67"/>
      <c r="K105" s="67"/>
      <c r="L105" s="67"/>
      <c r="M105" s="67"/>
      <c r="O105" s="67"/>
    </row>
    <row r="106" spans="1:15">
      <c r="B106" s="1453" t="s">
        <v>787</v>
      </c>
      <c r="C106" s="1455" t="s">
        <v>662</v>
      </c>
      <c r="D106" s="1457" t="s">
        <v>427</v>
      </c>
      <c r="E106" s="1458"/>
      <c r="F106" s="1459"/>
      <c r="G106" s="1460" t="s">
        <v>412</v>
      </c>
      <c r="H106" s="1461"/>
      <c r="I106" s="1460" t="s">
        <v>406</v>
      </c>
      <c r="J106" s="1461"/>
      <c r="K106" s="69"/>
      <c r="L106" s="69"/>
      <c r="M106" s="69"/>
      <c r="O106" s="69"/>
    </row>
    <row r="107" spans="1:15" ht="81">
      <c r="B107" s="1454"/>
      <c r="C107" s="1456"/>
      <c r="D107" s="440" t="s">
        <v>788</v>
      </c>
      <c r="E107" s="494" t="s">
        <v>789</v>
      </c>
      <c r="F107" s="494" t="s">
        <v>790</v>
      </c>
      <c r="G107" s="494" t="s">
        <v>789</v>
      </c>
      <c r="H107" s="494" t="s">
        <v>790</v>
      </c>
      <c r="I107" s="494" t="s">
        <v>789</v>
      </c>
      <c r="J107" s="494" t="s">
        <v>790</v>
      </c>
      <c r="K107" s="69"/>
      <c r="L107" s="69"/>
      <c r="O107" s="69"/>
    </row>
    <row r="108" spans="1:15">
      <c r="B108" s="425" t="s">
        <v>718</v>
      </c>
      <c r="C108" s="1443" t="s">
        <v>791</v>
      </c>
      <c r="D108" s="441">
        <v>4162</v>
      </c>
      <c r="E108" s="438">
        <v>893</v>
      </c>
      <c r="F108" s="442">
        <f t="shared" ref="F108:F113" si="15">E108/(D108)</f>
        <v>0.2145603075444498</v>
      </c>
      <c r="G108" s="1444">
        <v>2468</v>
      </c>
      <c r="H108" s="1445">
        <v>0.32</v>
      </c>
      <c r="I108" s="1447">
        <v>2134</v>
      </c>
      <c r="J108" s="1445">
        <v>0.27</v>
      </c>
      <c r="K108" s="69"/>
      <c r="L108" s="69"/>
      <c r="M108" s="69"/>
      <c r="N108" s="69"/>
      <c r="O108" s="69"/>
    </row>
    <row r="109" spans="1:15">
      <c r="B109" s="425" t="s">
        <v>720</v>
      </c>
      <c r="C109" s="1443"/>
      <c r="D109" s="441">
        <v>2734</v>
      </c>
      <c r="E109" s="438">
        <v>668</v>
      </c>
      <c r="F109" s="442">
        <f t="shared" si="15"/>
        <v>0.24433065106071689</v>
      </c>
      <c r="G109" s="1444"/>
      <c r="H109" s="1446"/>
      <c r="I109" s="1448"/>
      <c r="J109" s="1446"/>
      <c r="K109" s="358"/>
      <c r="L109" s="69"/>
      <c r="M109" s="69"/>
      <c r="N109" s="69"/>
      <c r="O109" s="69"/>
    </row>
    <row r="110" spans="1:15">
      <c r="B110" s="425" t="s">
        <v>721</v>
      </c>
      <c r="C110" s="1443"/>
      <c r="D110" s="441">
        <v>2271</v>
      </c>
      <c r="E110" s="438">
        <v>397</v>
      </c>
      <c r="F110" s="442">
        <f t="shared" si="15"/>
        <v>0.17481285777190664</v>
      </c>
      <c r="G110" s="490">
        <v>502</v>
      </c>
      <c r="H110" s="456">
        <v>0.18</v>
      </c>
      <c r="I110" s="490">
        <v>494</v>
      </c>
      <c r="J110" s="456">
        <v>0.21</v>
      </c>
      <c r="K110" s="358"/>
      <c r="L110" s="69"/>
      <c r="M110" s="69"/>
      <c r="N110" s="69"/>
      <c r="O110" s="69"/>
    </row>
    <row r="111" spans="1:15">
      <c r="B111" s="425" t="s">
        <v>722</v>
      </c>
      <c r="C111" s="1443"/>
      <c r="D111" s="441">
        <v>2442</v>
      </c>
      <c r="E111" s="583">
        <v>660</v>
      </c>
      <c r="F111" s="442">
        <f t="shared" si="15"/>
        <v>0.27027027027027029</v>
      </c>
      <c r="G111" s="490">
        <v>149</v>
      </c>
      <c r="H111" s="456">
        <v>0.06</v>
      </c>
      <c r="I111" s="490">
        <v>118</v>
      </c>
      <c r="J111" s="456">
        <v>0.05</v>
      </c>
      <c r="K111" s="358"/>
      <c r="L111" s="69"/>
      <c r="M111" s="69"/>
      <c r="N111" s="69"/>
      <c r="O111" s="69"/>
    </row>
    <row r="112" spans="1:15">
      <c r="B112" s="425" t="s">
        <v>723</v>
      </c>
      <c r="C112" s="1443"/>
      <c r="D112" s="441">
        <v>1057</v>
      </c>
      <c r="E112" s="438">
        <v>545</v>
      </c>
      <c r="F112" s="442">
        <f t="shared" si="15"/>
        <v>0.51561021759697256</v>
      </c>
      <c r="G112" s="490">
        <v>295</v>
      </c>
      <c r="H112" s="457">
        <v>0.49</v>
      </c>
      <c r="I112" s="458">
        <v>252</v>
      </c>
      <c r="J112" s="457">
        <v>0.4</v>
      </c>
      <c r="K112" s="358"/>
      <c r="L112" s="69"/>
      <c r="M112" s="69"/>
      <c r="N112" s="69"/>
      <c r="O112" s="69"/>
    </row>
    <row r="113" spans="1:15">
      <c r="B113" s="439" t="s">
        <v>792</v>
      </c>
      <c r="C113" s="1443"/>
      <c r="D113" s="438">
        <f>SUM(D108:D112)</f>
        <v>12666</v>
      </c>
      <c r="E113" s="438">
        <f>SUM(E108:E112)</f>
        <v>3163</v>
      </c>
      <c r="F113" s="442">
        <f t="shared" si="15"/>
        <v>0.24972366966682458</v>
      </c>
      <c r="G113" s="490">
        <f>G108+G110+G111+G112</f>
        <v>3414</v>
      </c>
      <c r="H113" s="456">
        <v>0.25</v>
      </c>
      <c r="I113" s="490">
        <f>I108+I110+I111+I112</f>
        <v>2998</v>
      </c>
      <c r="J113" s="456">
        <v>0.22</v>
      </c>
      <c r="K113" s="358"/>
      <c r="L113" s="69"/>
      <c r="M113" s="69"/>
      <c r="N113" s="69"/>
      <c r="O113" s="69"/>
    </row>
    <row r="114" spans="1:15">
      <c r="C114" s="98"/>
    </row>
    <row r="115" spans="1:15" ht="17.5">
      <c r="B115" s="492" t="s">
        <v>793</v>
      </c>
      <c r="C115" s="446" t="s">
        <v>662</v>
      </c>
      <c r="D115" s="1449" t="s">
        <v>427</v>
      </c>
      <c r="E115" s="1450"/>
      <c r="F115" s="1450"/>
      <c r="G115" s="1451"/>
    </row>
    <row r="116" spans="1:15" ht="26.25" customHeight="1">
      <c r="B116" s="383" t="s">
        <v>713</v>
      </c>
      <c r="C116" s="384" t="s">
        <v>907</v>
      </c>
      <c r="D116" s="447" t="s">
        <v>714</v>
      </c>
      <c r="E116" s="447" t="s">
        <v>715</v>
      </c>
      <c r="F116" s="447" t="s">
        <v>480</v>
      </c>
      <c r="G116" s="447" t="s">
        <v>906</v>
      </c>
    </row>
    <row r="117" spans="1:15">
      <c r="B117" s="425" t="s">
        <v>718</v>
      </c>
      <c r="C117" s="1436" t="s">
        <v>905</v>
      </c>
      <c r="D117" s="443">
        <v>215</v>
      </c>
      <c r="E117" s="443">
        <v>370</v>
      </c>
      <c r="F117" s="443">
        <v>585</v>
      </c>
      <c r="G117" s="448">
        <f t="shared" ref="G117:G122" si="16">F117/F23</f>
        <v>0.14341750429026723</v>
      </c>
    </row>
    <row r="118" spans="1:15">
      <c r="B118" s="425" t="s">
        <v>720</v>
      </c>
      <c r="C118" s="1437"/>
      <c r="D118" s="443">
        <v>83</v>
      </c>
      <c r="E118" s="443">
        <v>102</v>
      </c>
      <c r="F118" s="443">
        <v>185</v>
      </c>
      <c r="G118" s="448">
        <f t="shared" si="16"/>
        <v>6.4730580825752268E-2</v>
      </c>
    </row>
    <row r="119" spans="1:15">
      <c r="B119" s="425" t="s">
        <v>721</v>
      </c>
      <c r="C119" s="1437"/>
      <c r="D119" s="443">
        <v>99</v>
      </c>
      <c r="E119" s="443">
        <v>205</v>
      </c>
      <c r="F119" s="443">
        <v>304</v>
      </c>
      <c r="G119" s="448">
        <f t="shared" si="16"/>
        <v>0.13906678865507777</v>
      </c>
    </row>
    <row r="120" spans="1:15">
      <c r="B120" s="425" t="s">
        <v>722</v>
      </c>
      <c r="C120" s="1437"/>
      <c r="D120" s="443">
        <v>42</v>
      </c>
      <c r="E120" s="443">
        <v>111</v>
      </c>
      <c r="F120" s="443">
        <v>153</v>
      </c>
      <c r="G120" s="448">
        <f t="shared" si="16"/>
        <v>6.2220414802765349E-2</v>
      </c>
    </row>
    <row r="121" spans="1:15">
      <c r="B121" s="425" t="s">
        <v>723</v>
      </c>
      <c r="C121" s="1437"/>
      <c r="D121" s="443">
        <v>13</v>
      </c>
      <c r="E121" s="443">
        <v>38</v>
      </c>
      <c r="F121" s="443">
        <v>51</v>
      </c>
      <c r="G121" s="448">
        <f t="shared" si="16"/>
        <v>4.8295454545454544E-2</v>
      </c>
    </row>
    <row r="122" spans="1:15">
      <c r="B122" s="439" t="s">
        <v>792</v>
      </c>
      <c r="C122" s="1437"/>
      <c r="D122" s="444">
        <f>SUM(D117:D121)</f>
        <v>452</v>
      </c>
      <c r="E122" s="444">
        <f>SUM(E117:E121)</f>
        <v>826</v>
      </c>
      <c r="F122" s="445">
        <f>SUM(F117:F121)</f>
        <v>1278</v>
      </c>
      <c r="G122" s="448">
        <f t="shared" si="16"/>
        <v>0.10112359550561797</v>
      </c>
    </row>
    <row r="123" spans="1:15">
      <c r="C123" s="98"/>
    </row>
    <row r="124" spans="1:15" ht="17.5">
      <c r="A124" s="2" t="s">
        <v>952</v>
      </c>
      <c r="B124" s="460" t="s">
        <v>794</v>
      </c>
      <c r="C124" s="472" t="s">
        <v>662</v>
      </c>
      <c r="D124" s="1402" t="s">
        <v>427</v>
      </c>
      <c r="E124" s="1402"/>
      <c r="F124" s="1402"/>
    </row>
    <row r="125" spans="1:15" ht="27">
      <c r="A125" s="15" t="s">
        <v>954</v>
      </c>
      <c r="B125" s="473" t="s">
        <v>713</v>
      </c>
      <c r="C125" s="474" t="s">
        <v>907</v>
      </c>
      <c r="D125" s="475" t="s">
        <v>714</v>
      </c>
      <c r="E125" s="475" t="s">
        <v>715</v>
      </c>
      <c r="F125" s="475" t="s">
        <v>480</v>
      </c>
    </row>
    <row r="126" spans="1:15" ht="27">
      <c r="B126" s="476" t="s">
        <v>795</v>
      </c>
      <c r="C126" s="477"/>
      <c r="D126" s="569"/>
      <c r="E126" s="569"/>
      <c r="F126" s="569"/>
    </row>
    <row r="127" spans="1:15" ht="27">
      <c r="B127" s="476" t="s">
        <v>796</v>
      </c>
      <c r="C127" s="477"/>
      <c r="D127" s="569">
        <v>20</v>
      </c>
      <c r="E127" s="569">
        <v>6</v>
      </c>
      <c r="F127" s="569">
        <v>26</v>
      </c>
    </row>
    <row r="128" spans="1:15" ht="37.5" customHeight="1">
      <c r="B128" s="476" t="s">
        <v>797</v>
      </c>
      <c r="C128" s="479" t="s">
        <v>951</v>
      </c>
      <c r="D128" s="569">
        <v>0</v>
      </c>
      <c r="E128" s="569">
        <v>2</v>
      </c>
      <c r="F128" s="569">
        <v>2</v>
      </c>
    </row>
    <row r="129" spans="1:9" ht="49" customHeight="1">
      <c r="B129" s="476" t="s">
        <v>798</v>
      </c>
      <c r="C129" s="479" t="s">
        <v>950</v>
      </c>
      <c r="D129" s="569"/>
      <c r="E129" s="569"/>
      <c r="F129" s="569"/>
    </row>
    <row r="130" spans="1:9" ht="27">
      <c r="B130" s="476" t="s">
        <v>799</v>
      </c>
      <c r="C130" s="479" t="s">
        <v>951</v>
      </c>
      <c r="D130" s="570" t="s">
        <v>949</v>
      </c>
      <c r="E130" s="570" t="s">
        <v>948</v>
      </c>
      <c r="F130" s="569"/>
    </row>
    <row r="131" spans="1:9" ht="14.25" customHeight="1">
      <c r="C131" s="98"/>
    </row>
    <row r="132" spans="1:9" ht="32" customHeight="1">
      <c r="A132" s="2" t="s">
        <v>952</v>
      </c>
      <c r="B132" s="460" t="s">
        <v>942</v>
      </c>
      <c r="C132" s="571" t="s">
        <v>662</v>
      </c>
      <c r="D132" s="1438" t="s">
        <v>427</v>
      </c>
      <c r="E132" s="1438"/>
      <c r="F132" s="1438"/>
      <c r="G132" s="1438" t="s">
        <v>427</v>
      </c>
      <c r="H132" s="1438"/>
      <c r="I132" s="1438"/>
    </row>
    <row r="133" spans="1:9" ht="27">
      <c r="A133" s="1439" t="s">
        <v>953</v>
      </c>
      <c r="B133" s="473" t="s">
        <v>713</v>
      </c>
      <c r="C133" s="474" t="s">
        <v>907</v>
      </c>
      <c r="D133" s="475" t="s">
        <v>714</v>
      </c>
      <c r="E133" s="475" t="s">
        <v>715</v>
      </c>
      <c r="F133" s="475" t="s">
        <v>480</v>
      </c>
      <c r="G133" s="475" t="s">
        <v>714</v>
      </c>
      <c r="H133" s="475" t="s">
        <v>715</v>
      </c>
      <c r="I133" s="475" t="s">
        <v>480</v>
      </c>
    </row>
    <row r="134" spans="1:9">
      <c r="A134" s="1439"/>
      <c r="B134" s="476" t="s">
        <v>943</v>
      </c>
      <c r="C134" s="1440" t="s">
        <v>1015</v>
      </c>
      <c r="D134" s="478">
        <v>3509</v>
      </c>
      <c r="E134" s="478">
        <v>7737</v>
      </c>
      <c r="F134" s="478">
        <v>11246</v>
      </c>
      <c r="G134" s="568">
        <v>0.98199999999999998</v>
      </c>
      <c r="H134" s="568">
        <v>0.89900000000000002</v>
      </c>
      <c r="I134" s="568">
        <v>0.92300000000000004</v>
      </c>
    </row>
    <row r="135" spans="1:9">
      <c r="B135" s="450" t="s">
        <v>944</v>
      </c>
      <c r="C135" s="1441"/>
      <c r="D135" s="478">
        <v>182</v>
      </c>
      <c r="E135" s="478">
        <v>230</v>
      </c>
      <c r="F135" s="478">
        <v>412</v>
      </c>
      <c r="G135" s="568">
        <v>0.91900000000000004</v>
      </c>
      <c r="H135" s="568">
        <v>0.89800000000000002</v>
      </c>
      <c r="I135" s="568">
        <v>0.90700000000000003</v>
      </c>
    </row>
    <row r="136" spans="1:9">
      <c r="B136" s="450" t="s">
        <v>990</v>
      </c>
      <c r="C136" s="1442"/>
      <c r="D136" s="478">
        <v>3691</v>
      </c>
      <c r="E136" s="478">
        <v>7967</v>
      </c>
      <c r="F136" s="478">
        <v>11658</v>
      </c>
      <c r="G136" s="568">
        <v>0.97799999999999998</v>
      </c>
      <c r="H136" s="568">
        <v>0.89900000000000002</v>
      </c>
      <c r="I136" s="568">
        <v>0.92200000000000004</v>
      </c>
    </row>
    <row r="137" spans="1:9" ht="14.25" customHeight="1">
      <c r="C137" s="98"/>
    </row>
    <row r="138" spans="1:9" ht="22.5" customHeight="1">
      <c r="B138" s="1381" t="s">
        <v>942</v>
      </c>
      <c r="C138" s="1383" t="s">
        <v>662</v>
      </c>
      <c r="D138" s="1385" t="s">
        <v>427</v>
      </c>
      <c r="E138" s="1386"/>
      <c r="F138" s="69"/>
      <c r="G138" s="69"/>
    </row>
    <row r="139" spans="1:9" ht="22.5" customHeight="1">
      <c r="B139" s="1382"/>
      <c r="C139" s="1384"/>
      <c r="D139" s="317" t="s">
        <v>480</v>
      </c>
      <c r="E139" s="317" t="s">
        <v>357</v>
      </c>
      <c r="F139" s="69"/>
      <c r="G139" s="69"/>
    </row>
    <row r="140" spans="1:9" ht="67.5">
      <c r="B140" s="450" t="s">
        <v>964</v>
      </c>
      <c r="C140" s="574" t="s">
        <v>1073</v>
      </c>
      <c r="D140" s="572">
        <f>F28-980</f>
        <v>11658</v>
      </c>
      <c r="E140" s="573">
        <v>0.92200000000000004</v>
      </c>
      <c r="F140" s="481"/>
      <c r="G140" s="480"/>
      <c r="I140" s="480"/>
    </row>
    <row r="141" spans="1:9" ht="14.25" customHeight="1">
      <c r="C141" s="98"/>
    </row>
    <row r="142" spans="1:9" ht="27">
      <c r="A142" s="16" t="s">
        <v>800</v>
      </c>
      <c r="B142" s="315" t="s">
        <v>801</v>
      </c>
      <c r="C142" s="317" t="s">
        <v>662</v>
      </c>
      <c r="D142" s="316" t="s">
        <v>427</v>
      </c>
      <c r="E142" s="316" t="s">
        <v>412</v>
      </c>
      <c r="F142" s="316" t="s">
        <v>406</v>
      </c>
      <c r="G142" s="316" t="s">
        <v>409</v>
      </c>
    </row>
    <row r="143" spans="1:9">
      <c r="A143" s="2" t="s">
        <v>802</v>
      </c>
      <c r="B143" s="278" t="s">
        <v>803</v>
      </c>
      <c r="C143" s="487" t="s">
        <v>804</v>
      </c>
      <c r="D143" s="313">
        <v>0.75</v>
      </c>
      <c r="E143" s="313" t="s">
        <v>805</v>
      </c>
      <c r="F143" s="584">
        <v>0.74</v>
      </c>
      <c r="G143" s="584">
        <v>0.64</v>
      </c>
    </row>
    <row r="144" spans="1:9">
      <c r="B144" s="305" t="s">
        <v>963</v>
      </c>
      <c r="C144" s="487"/>
      <c r="D144" s="313"/>
      <c r="E144" s="313" t="s">
        <v>805</v>
      </c>
      <c r="F144" s="584">
        <v>0.65</v>
      </c>
      <c r="G144" s="584">
        <v>0.63</v>
      </c>
    </row>
    <row r="145" spans="1:15" ht="27">
      <c r="B145" s="305" t="s">
        <v>962</v>
      </c>
      <c r="C145" s="487" t="s">
        <v>806</v>
      </c>
      <c r="D145" s="305">
        <v>6.9</v>
      </c>
      <c r="E145" s="313" t="s">
        <v>805</v>
      </c>
      <c r="F145" s="585"/>
      <c r="G145" s="585"/>
    </row>
    <row r="146" spans="1:15">
      <c r="C146" s="70"/>
      <c r="O146" s="2"/>
    </row>
    <row r="147" spans="1:15" ht="17.5">
      <c r="B147" s="315" t="s">
        <v>807</v>
      </c>
      <c r="C147" s="317" t="s">
        <v>662</v>
      </c>
      <c r="D147" s="316" t="s">
        <v>427</v>
      </c>
    </row>
    <row r="148" spans="1:15" ht="46.5" customHeight="1">
      <c r="A148" s="319" t="s">
        <v>808</v>
      </c>
      <c r="B148" s="346" t="s">
        <v>809</v>
      </c>
      <c r="C148" s="337" t="s">
        <v>810</v>
      </c>
      <c r="D148" s="357">
        <v>25.52</v>
      </c>
      <c r="N148" s="67"/>
      <c r="O148" s="67"/>
    </row>
    <row r="149" spans="1:15">
      <c r="C149" s="98"/>
    </row>
    <row r="150" spans="1:15" ht="17.5">
      <c r="A150" s="2" t="s">
        <v>952</v>
      </c>
      <c r="B150" s="368" t="s">
        <v>807</v>
      </c>
      <c r="C150" s="485" t="s">
        <v>662</v>
      </c>
      <c r="D150" s="1435" t="s">
        <v>427</v>
      </c>
      <c r="E150" s="1435"/>
      <c r="F150" s="1435"/>
      <c r="G150" s="1435"/>
      <c r="H150" s="1435"/>
    </row>
    <row r="151" spans="1:15" ht="96" customHeight="1">
      <c r="B151" s="369"/>
      <c r="C151" s="380"/>
      <c r="D151" s="575" t="s">
        <v>946</v>
      </c>
      <c r="E151" s="575" t="s">
        <v>811</v>
      </c>
      <c r="F151" s="575" t="s">
        <v>812</v>
      </c>
      <c r="G151" s="370" t="s">
        <v>813</v>
      </c>
      <c r="H151" s="370" t="s">
        <v>814</v>
      </c>
    </row>
    <row r="152" spans="1:15" ht="14.5" hidden="1">
      <c r="B152" s="369" t="s">
        <v>815</v>
      </c>
      <c r="C152" s="381"/>
      <c r="D152" s="576">
        <v>20</v>
      </c>
      <c r="E152" s="576">
        <v>491</v>
      </c>
      <c r="F152" s="576">
        <v>42</v>
      </c>
      <c r="G152" s="369">
        <v>553</v>
      </c>
      <c r="H152" s="371">
        <f t="shared" ref="H152:H159" si="17">E152/G152</f>
        <v>0.88788426763110306</v>
      </c>
    </row>
    <row r="153" spans="1:15" ht="14.5" hidden="1">
      <c r="B153" s="369" t="s">
        <v>816</v>
      </c>
      <c r="C153" s="381"/>
      <c r="D153" s="576">
        <v>58</v>
      </c>
      <c r="E153" s="576">
        <v>648</v>
      </c>
      <c r="F153" s="576">
        <v>177</v>
      </c>
      <c r="G153" s="369">
        <v>883</v>
      </c>
      <c r="H153" s="371">
        <f t="shared" si="17"/>
        <v>0.73386183465458665</v>
      </c>
    </row>
    <row r="154" spans="1:15" ht="14.5" hidden="1">
      <c r="B154" s="369" t="s">
        <v>817</v>
      </c>
      <c r="C154" s="381"/>
      <c r="D154" s="576">
        <v>2</v>
      </c>
      <c r="E154" s="576">
        <v>562</v>
      </c>
      <c r="F154" s="576">
        <v>188</v>
      </c>
      <c r="G154" s="369">
        <v>752</v>
      </c>
      <c r="H154" s="371">
        <f t="shared" si="17"/>
        <v>0.74734042553191493</v>
      </c>
    </row>
    <row r="155" spans="1:15" ht="14.5" hidden="1">
      <c r="B155" s="369" t="s">
        <v>818</v>
      </c>
      <c r="C155" s="381"/>
      <c r="D155" s="576">
        <v>2</v>
      </c>
      <c r="E155" s="576">
        <v>86</v>
      </c>
      <c r="F155" s="576">
        <v>44</v>
      </c>
      <c r="G155" s="369">
        <v>132</v>
      </c>
      <c r="H155" s="371">
        <f t="shared" si="17"/>
        <v>0.65151515151515149</v>
      </c>
    </row>
    <row r="156" spans="1:15" ht="14.5" hidden="1">
      <c r="B156" s="369" t="s">
        <v>819</v>
      </c>
      <c r="C156" s="381"/>
      <c r="D156" s="576">
        <v>2</v>
      </c>
      <c r="E156" s="576">
        <v>270</v>
      </c>
      <c r="F156" s="576">
        <v>92</v>
      </c>
      <c r="G156" s="369">
        <v>364</v>
      </c>
      <c r="H156" s="371">
        <f t="shared" si="17"/>
        <v>0.74175824175824179</v>
      </c>
    </row>
    <row r="157" spans="1:15" ht="14.5" hidden="1">
      <c r="B157" s="369" t="s">
        <v>820</v>
      </c>
      <c r="C157" s="381"/>
      <c r="D157" s="576">
        <v>1</v>
      </c>
      <c r="E157" s="576">
        <v>113</v>
      </c>
      <c r="F157" s="576">
        <v>47</v>
      </c>
      <c r="G157" s="369">
        <v>161</v>
      </c>
      <c r="H157" s="371">
        <f t="shared" si="17"/>
        <v>0.70186335403726707</v>
      </c>
    </row>
    <row r="158" spans="1:15" ht="14.5" hidden="1">
      <c r="B158" s="369" t="s">
        <v>821</v>
      </c>
      <c r="C158" s="381"/>
      <c r="D158" s="576">
        <v>159</v>
      </c>
      <c r="E158" s="576">
        <v>149</v>
      </c>
      <c r="F158" s="576">
        <v>87</v>
      </c>
      <c r="G158" s="369">
        <v>395</v>
      </c>
      <c r="H158" s="371">
        <f t="shared" si="17"/>
        <v>0.37721518987341773</v>
      </c>
    </row>
    <row r="159" spans="1:15" ht="42.75" customHeight="1">
      <c r="B159" s="450" t="s">
        <v>822</v>
      </c>
      <c r="C159" s="450" t="s">
        <v>823</v>
      </c>
      <c r="D159" s="451">
        <v>244</v>
      </c>
      <c r="E159" s="451">
        <v>2319</v>
      </c>
      <c r="F159" s="451">
        <v>677</v>
      </c>
      <c r="G159" s="451">
        <f t="shared" ref="G159:G181" si="18">SUM(D159:F159)</f>
        <v>3240</v>
      </c>
      <c r="H159" s="452">
        <f t="shared" si="17"/>
        <v>0.71574074074074079</v>
      </c>
    </row>
    <row r="160" spans="1:15" hidden="1">
      <c r="B160" s="450"/>
      <c r="C160" s="450"/>
      <c r="D160" s="453"/>
      <c r="E160" s="453"/>
      <c r="F160" s="453"/>
      <c r="G160" s="451">
        <f t="shared" si="18"/>
        <v>0</v>
      </c>
      <c r="H160" s="454"/>
    </row>
    <row r="161" spans="2:8" hidden="1">
      <c r="B161" s="450"/>
      <c r="C161" s="450"/>
      <c r="D161" s="453"/>
      <c r="E161" s="453"/>
      <c r="F161" s="453"/>
      <c r="G161" s="451">
        <f t="shared" si="18"/>
        <v>0</v>
      </c>
      <c r="H161" s="454"/>
    </row>
    <row r="162" spans="2:8" hidden="1">
      <c r="B162" s="450"/>
      <c r="C162" s="450"/>
      <c r="D162" s="453"/>
      <c r="E162" s="453"/>
      <c r="F162" s="453"/>
      <c r="G162" s="451">
        <f t="shared" si="18"/>
        <v>0</v>
      </c>
      <c r="H162" s="454"/>
    </row>
    <row r="163" spans="2:8" hidden="1">
      <c r="B163" s="455"/>
      <c r="C163" s="450"/>
      <c r="D163" s="453"/>
      <c r="E163" s="451" t="s">
        <v>811</v>
      </c>
      <c r="F163" s="451" t="s">
        <v>824</v>
      </c>
      <c r="G163" s="451">
        <f t="shared" si="18"/>
        <v>0</v>
      </c>
      <c r="H163" s="452"/>
    </row>
    <row r="164" spans="2:8" hidden="1">
      <c r="B164" s="455" t="s">
        <v>815</v>
      </c>
      <c r="C164" s="450"/>
      <c r="D164" s="453"/>
      <c r="E164" s="451">
        <v>617</v>
      </c>
      <c r="F164" s="451">
        <v>120</v>
      </c>
      <c r="G164" s="451">
        <f t="shared" si="18"/>
        <v>737</v>
      </c>
      <c r="H164" s="452">
        <v>83.7</v>
      </c>
    </row>
    <row r="165" spans="2:8" hidden="1">
      <c r="B165" s="455" t="s">
        <v>816</v>
      </c>
      <c r="C165" s="450"/>
      <c r="D165" s="453"/>
      <c r="E165" s="451">
        <v>1227</v>
      </c>
      <c r="F165" s="451">
        <v>462</v>
      </c>
      <c r="G165" s="451">
        <f t="shared" si="18"/>
        <v>1689</v>
      </c>
      <c r="H165" s="452">
        <v>72.599999999999994</v>
      </c>
    </row>
    <row r="166" spans="2:8" hidden="1">
      <c r="B166" s="455" t="s">
        <v>817</v>
      </c>
      <c r="C166" s="450"/>
      <c r="D166" s="453"/>
      <c r="E166" s="451">
        <v>518</v>
      </c>
      <c r="F166" s="451">
        <v>310</v>
      </c>
      <c r="G166" s="451">
        <f t="shared" si="18"/>
        <v>828</v>
      </c>
      <c r="H166" s="452">
        <v>62.6</v>
      </c>
    </row>
    <row r="167" spans="2:8" hidden="1">
      <c r="B167" s="455" t="s">
        <v>818</v>
      </c>
      <c r="C167" s="450"/>
      <c r="D167" s="453"/>
      <c r="E167" s="451">
        <v>91</v>
      </c>
      <c r="F167" s="451">
        <v>48</v>
      </c>
      <c r="G167" s="451">
        <f t="shared" si="18"/>
        <v>139</v>
      </c>
      <c r="H167" s="452">
        <v>65.5</v>
      </c>
    </row>
    <row r="168" spans="2:8" hidden="1">
      <c r="B168" s="455" t="s">
        <v>819</v>
      </c>
      <c r="C168" s="450"/>
      <c r="D168" s="453"/>
      <c r="E168" s="451">
        <v>435</v>
      </c>
      <c r="F168" s="451">
        <v>226</v>
      </c>
      <c r="G168" s="451">
        <f t="shared" si="18"/>
        <v>661</v>
      </c>
      <c r="H168" s="452">
        <v>65.8</v>
      </c>
    </row>
    <row r="169" spans="2:8" hidden="1">
      <c r="B169" s="455" t="s">
        <v>820</v>
      </c>
      <c r="C169" s="450"/>
      <c r="D169" s="453"/>
      <c r="E169" s="451">
        <v>264</v>
      </c>
      <c r="F169" s="451">
        <v>66</v>
      </c>
      <c r="G169" s="451">
        <f t="shared" si="18"/>
        <v>330</v>
      </c>
      <c r="H169" s="452">
        <v>80</v>
      </c>
    </row>
    <row r="170" spans="2:8" hidden="1">
      <c r="B170" s="455" t="s">
        <v>821</v>
      </c>
      <c r="C170" s="450"/>
      <c r="D170" s="453"/>
      <c r="E170" s="451">
        <v>754</v>
      </c>
      <c r="F170" s="451">
        <v>985</v>
      </c>
      <c r="G170" s="451">
        <f t="shared" si="18"/>
        <v>1739</v>
      </c>
      <c r="H170" s="452">
        <v>43.4</v>
      </c>
    </row>
    <row r="171" spans="2:8" ht="48" customHeight="1">
      <c r="B171" s="455" t="s">
        <v>825</v>
      </c>
      <c r="C171" s="450" t="s">
        <v>826</v>
      </c>
      <c r="D171" s="453">
        <v>0</v>
      </c>
      <c r="E171" s="451">
        <v>3906</v>
      </c>
      <c r="F171" s="451">
        <v>2217</v>
      </c>
      <c r="G171" s="451">
        <f t="shared" si="18"/>
        <v>6123</v>
      </c>
      <c r="H171" s="452">
        <f>E171/G171</f>
        <v>0.63792258696717297</v>
      </c>
    </row>
    <row r="172" spans="2:8" hidden="1">
      <c r="B172" s="380"/>
      <c r="C172" s="380"/>
      <c r="D172" s="453"/>
      <c r="E172" s="453"/>
      <c r="F172" s="453"/>
      <c r="G172" s="372">
        <f t="shared" si="18"/>
        <v>0</v>
      </c>
      <c r="H172" s="382"/>
    </row>
    <row r="173" spans="2:8" hidden="1">
      <c r="B173" s="380"/>
      <c r="C173" s="380"/>
      <c r="D173" s="453"/>
      <c r="E173" s="453"/>
      <c r="F173" s="453"/>
      <c r="G173" s="372">
        <f t="shared" si="18"/>
        <v>0</v>
      </c>
      <c r="H173" s="382"/>
    </row>
    <row r="174" spans="2:8" ht="40.5" hidden="1">
      <c r="B174" s="374"/>
      <c r="C174" s="380"/>
      <c r="D174" s="453" t="s">
        <v>827</v>
      </c>
      <c r="E174" s="451" t="s">
        <v>811</v>
      </c>
      <c r="F174" s="451" t="s">
        <v>824</v>
      </c>
      <c r="G174" s="372">
        <f t="shared" si="18"/>
        <v>0</v>
      </c>
      <c r="H174" s="375"/>
    </row>
    <row r="175" spans="2:8" hidden="1">
      <c r="B175" s="374" t="s">
        <v>815</v>
      </c>
      <c r="C175" s="380"/>
      <c r="D175" s="577">
        <v>6</v>
      </c>
      <c r="E175" s="577">
        <v>1261</v>
      </c>
      <c r="F175" s="577">
        <v>138</v>
      </c>
      <c r="G175" s="372">
        <f t="shared" si="18"/>
        <v>1405</v>
      </c>
      <c r="H175" s="376">
        <v>0.897509</v>
      </c>
    </row>
    <row r="176" spans="2:8" hidden="1">
      <c r="B176" s="374" t="s">
        <v>816</v>
      </c>
      <c r="C176" s="380"/>
      <c r="D176" s="577">
        <v>8</v>
      </c>
      <c r="E176" s="577">
        <v>4043</v>
      </c>
      <c r="F176" s="577">
        <v>531</v>
      </c>
      <c r="G176" s="372">
        <f t="shared" si="18"/>
        <v>4582</v>
      </c>
      <c r="H176" s="376">
        <v>0.88236599999999998</v>
      </c>
    </row>
    <row r="177" spans="2:8" hidden="1">
      <c r="B177" s="374" t="s">
        <v>817</v>
      </c>
      <c r="C177" s="380"/>
      <c r="D177" s="577">
        <v>1</v>
      </c>
      <c r="E177" s="577">
        <v>1221</v>
      </c>
      <c r="F177" s="577">
        <v>168</v>
      </c>
      <c r="G177" s="372">
        <f t="shared" si="18"/>
        <v>1390</v>
      </c>
      <c r="H177" s="376">
        <v>0.878417</v>
      </c>
    </row>
    <row r="178" spans="2:8" hidden="1">
      <c r="B178" s="374" t="s">
        <v>818</v>
      </c>
      <c r="C178" s="380"/>
      <c r="D178" s="577">
        <v>53</v>
      </c>
      <c r="E178" s="577">
        <v>372</v>
      </c>
      <c r="F178" s="577">
        <v>77</v>
      </c>
      <c r="G178" s="372">
        <f t="shared" si="18"/>
        <v>502</v>
      </c>
      <c r="H178" s="376">
        <v>0.74103600000000003</v>
      </c>
    </row>
    <row r="179" spans="2:8" hidden="1">
      <c r="B179" s="374" t="s">
        <v>819</v>
      </c>
      <c r="C179" s="380"/>
      <c r="D179" s="577">
        <v>11</v>
      </c>
      <c r="E179" s="577">
        <v>1506</v>
      </c>
      <c r="F179" s="577">
        <v>183</v>
      </c>
      <c r="G179" s="372">
        <f t="shared" si="18"/>
        <v>1700</v>
      </c>
      <c r="H179" s="376">
        <v>0.88588199999999995</v>
      </c>
    </row>
    <row r="180" spans="2:8" hidden="1">
      <c r="B180" s="374" t="s">
        <v>820</v>
      </c>
      <c r="C180" s="380"/>
      <c r="D180" s="577">
        <v>19</v>
      </c>
      <c r="E180" s="577">
        <v>1232</v>
      </c>
      <c r="F180" s="577">
        <v>260</v>
      </c>
      <c r="G180" s="372">
        <f t="shared" si="18"/>
        <v>1511</v>
      </c>
      <c r="H180" s="376">
        <v>0.81535400000000002</v>
      </c>
    </row>
    <row r="181" spans="2:8" hidden="1">
      <c r="B181" s="374" t="s">
        <v>821</v>
      </c>
      <c r="C181" s="380"/>
      <c r="D181" s="451"/>
      <c r="E181" s="577">
        <v>12</v>
      </c>
      <c r="F181" s="451"/>
      <c r="G181" s="372">
        <f t="shared" si="18"/>
        <v>12</v>
      </c>
      <c r="H181" s="376">
        <v>1</v>
      </c>
    </row>
    <row r="182" spans="2:8" ht="32.25" customHeight="1">
      <c r="B182" s="374" t="s">
        <v>828</v>
      </c>
      <c r="C182" s="380" t="s">
        <v>945</v>
      </c>
      <c r="D182" s="577"/>
      <c r="E182" s="577"/>
      <c r="F182" s="577"/>
      <c r="G182" s="372"/>
      <c r="H182" s="373"/>
    </row>
  </sheetData>
  <mergeCells count="92">
    <mergeCell ref="B2:R2"/>
    <mergeCell ref="B4:O4"/>
    <mergeCell ref="D6:F6"/>
    <mergeCell ref="G6:I6"/>
    <mergeCell ref="J6:L6"/>
    <mergeCell ref="M6:M7"/>
    <mergeCell ref="N6:N7"/>
    <mergeCell ref="L9:L10"/>
    <mergeCell ref="N9:N10"/>
    <mergeCell ref="O9:O10"/>
    <mergeCell ref="C16:C21"/>
    <mergeCell ref="G16:G17"/>
    <mergeCell ref="H16:H17"/>
    <mergeCell ref="I16:I17"/>
    <mergeCell ref="J16:J17"/>
    <mergeCell ref="K16:K17"/>
    <mergeCell ref="L16:L17"/>
    <mergeCell ref="C9:C14"/>
    <mergeCell ref="G9:G10"/>
    <mergeCell ref="H9:H10"/>
    <mergeCell ref="I9:I10"/>
    <mergeCell ref="J9:J10"/>
    <mergeCell ref="K9:K10"/>
    <mergeCell ref="L23:L24"/>
    <mergeCell ref="N29:N30"/>
    <mergeCell ref="C43:C46"/>
    <mergeCell ref="G44:G45"/>
    <mergeCell ref="H44:H45"/>
    <mergeCell ref="I44:I45"/>
    <mergeCell ref="J44:J45"/>
    <mergeCell ref="K44:K45"/>
    <mergeCell ref="L44:L45"/>
    <mergeCell ref="C23:C28"/>
    <mergeCell ref="G23:G24"/>
    <mergeCell ref="H23:H24"/>
    <mergeCell ref="I23:I24"/>
    <mergeCell ref="J23:J24"/>
    <mergeCell ref="K23:K24"/>
    <mergeCell ref="C62:C67"/>
    <mergeCell ref="C51:C52"/>
    <mergeCell ref="G52:I52"/>
    <mergeCell ref="J52:L52"/>
    <mergeCell ref="G53:I53"/>
    <mergeCell ref="J53:L53"/>
    <mergeCell ref="C54:C55"/>
    <mergeCell ref="G54:I54"/>
    <mergeCell ref="J54:L54"/>
    <mergeCell ref="G55:I55"/>
    <mergeCell ref="J55:L55"/>
    <mergeCell ref="C56:C57"/>
    <mergeCell ref="G56:I56"/>
    <mergeCell ref="J56:L56"/>
    <mergeCell ref="G57:I57"/>
    <mergeCell ref="J57:L57"/>
    <mergeCell ref="C69:C74"/>
    <mergeCell ref="C76:C81"/>
    <mergeCell ref="A83:A89"/>
    <mergeCell ref="C84:C89"/>
    <mergeCell ref="D96:F96"/>
    <mergeCell ref="J96:L96"/>
    <mergeCell ref="C99:C104"/>
    <mergeCell ref="D99:D100"/>
    <mergeCell ref="E99:E100"/>
    <mergeCell ref="F99:F100"/>
    <mergeCell ref="G99:G100"/>
    <mergeCell ref="H99:H100"/>
    <mergeCell ref="I99:I100"/>
    <mergeCell ref="J99:J100"/>
    <mergeCell ref="K99:K100"/>
    <mergeCell ref="G96:I96"/>
    <mergeCell ref="I108:I109"/>
    <mergeCell ref="J108:J109"/>
    <mergeCell ref="D115:G115"/>
    <mergeCell ref="L99:L100"/>
    <mergeCell ref="B106:B107"/>
    <mergeCell ref="C106:C107"/>
    <mergeCell ref="D106:F106"/>
    <mergeCell ref="G106:H106"/>
    <mergeCell ref="I106:J106"/>
    <mergeCell ref="A133:A134"/>
    <mergeCell ref="C134:C136"/>
    <mergeCell ref="C108:C113"/>
    <mergeCell ref="G108:G109"/>
    <mergeCell ref="H108:H109"/>
    <mergeCell ref="B138:B139"/>
    <mergeCell ref="C138:C139"/>
    <mergeCell ref="D138:E138"/>
    <mergeCell ref="D150:H150"/>
    <mergeCell ref="C117:C122"/>
    <mergeCell ref="D124:F124"/>
    <mergeCell ref="D132:F132"/>
    <mergeCell ref="G132:I132"/>
  </mergeCell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A3C60-39F1-4774-8057-E92E60310DDA}">
  <sheetPr codeName="Sheet3">
    <tabColor theme="3"/>
    <pageSetUpPr fitToPage="1"/>
  </sheetPr>
  <dimension ref="A1:N23"/>
  <sheetViews>
    <sheetView zoomScale="80" zoomScaleNormal="80" workbookViewId="0"/>
  </sheetViews>
  <sheetFormatPr defaultColWidth="8.81640625" defaultRowHeight="13.5"/>
  <cols>
    <col min="1" max="1" width="5.81640625" style="2" customWidth="1"/>
    <col min="2" max="9" width="13.81640625" style="2" customWidth="1"/>
    <col min="10" max="10" width="74.54296875" style="2" customWidth="1"/>
    <col min="11" max="11" width="9.90625" style="2" customWidth="1"/>
    <col min="12" max="13" width="8.81640625" style="2"/>
    <col min="14" max="14" width="37.54296875" style="2" customWidth="1"/>
    <col min="15" max="16384" width="8.81640625" style="2"/>
  </cols>
  <sheetData>
    <row r="1" spans="1:14" ht="3" customHeight="1">
      <c r="A1" s="833"/>
      <c r="B1" s="833"/>
      <c r="C1" s="833"/>
      <c r="D1" s="833"/>
      <c r="E1" s="833"/>
      <c r="F1" s="833"/>
      <c r="G1" s="833"/>
      <c r="H1" s="833"/>
      <c r="I1" s="833"/>
      <c r="J1" s="833"/>
      <c r="K1" s="833"/>
    </row>
    <row r="2" spans="1:14" ht="41.4" customHeight="1">
      <c r="A2" s="1052"/>
      <c r="B2" s="1209" t="s">
        <v>0</v>
      </c>
      <c r="C2" s="1209"/>
      <c r="D2" s="1209"/>
      <c r="E2" s="1209"/>
      <c r="F2" s="1209"/>
      <c r="G2" s="1209"/>
      <c r="H2" s="1209"/>
      <c r="I2" s="1209"/>
      <c r="J2" s="1209"/>
      <c r="K2" s="1052"/>
      <c r="N2" s="528"/>
    </row>
    <row r="3" spans="1:14" ht="70.5" customHeight="1">
      <c r="A3" s="1052"/>
      <c r="B3" s="1210" t="s">
        <v>1182</v>
      </c>
      <c r="C3" s="1210"/>
      <c r="D3" s="1210"/>
      <c r="E3" s="1210"/>
      <c r="F3" s="1210"/>
      <c r="G3" s="1210"/>
      <c r="H3" s="1210"/>
      <c r="I3" s="1210"/>
      <c r="J3" s="1210"/>
      <c r="K3" s="1052"/>
    </row>
    <row r="4" spans="1:14" ht="14">
      <c r="A4" s="1052"/>
      <c r="B4" s="4"/>
      <c r="C4" s="4"/>
      <c r="D4" s="4"/>
      <c r="E4" s="4"/>
      <c r="F4" s="4"/>
      <c r="G4" s="4"/>
      <c r="H4" s="4"/>
      <c r="I4" s="4"/>
      <c r="J4" s="4"/>
      <c r="K4" s="1052"/>
    </row>
    <row r="5" spans="1:14" s="886" customFormat="1" ht="14">
      <c r="A5" s="1053"/>
      <c r="B5" s="884" t="s">
        <v>1</v>
      </c>
      <c r="C5" s="885"/>
      <c r="D5" s="885"/>
      <c r="E5" s="885"/>
      <c r="F5" s="885"/>
      <c r="G5" s="885"/>
      <c r="H5" s="885"/>
      <c r="I5" s="885"/>
      <c r="J5" s="885"/>
      <c r="K5" s="1053"/>
    </row>
    <row r="6" spans="1:14" ht="29" customHeight="1">
      <c r="A6" s="1052"/>
      <c r="B6" s="1207" t="s">
        <v>977</v>
      </c>
      <c r="C6" s="1207"/>
      <c r="D6" s="1207"/>
      <c r="E6" s="1207"/>
      <c r="F6" s="1207"/>
      <c r="G6" s="1207"/>
      <c r="H6" s="1207"/>
      <c r="I6" s="1207"/>
      <c r="J6" s="1207"/>
      <c r="K6" s="1052"/>
    </row>
    <row r="7" spans="1:14" ht="14">
      <c r="A7" s="1052"/>
      <c r="B7" s="6"/>
      <c r="C7" s="6"/>
      <c r="D7" s="6"/>
      <c r="E7" s="6"/>
      <c r="F7" s="6"/>
      <c r="G7" s="6"/>
      <c r="H7" s="6"/>
      <c r="I7" s="6"/>
      <c r="J7" s="6"/>
      <c r="K7" s="1052"/>
    </row>
    <row r="8" spans="1:14" ht="14">
      <c r="A8" s="1052"/>
      <c r="B8" s="884" t="s">
        <v>2</v>
      </c>
      <c r="C8" s="7"/>
      <c r="D8" s="7"/>
      <c r="E8" s="7"/>
      <c r="F8" s="7"/>
      <c r="G8" s="7"/>
      <c r="H8" s="7"/>
      <c r="I8" s="7"/>
      <c r="J8" s="7"/>
      <c r="K8" s="1052"/>
    </row>
    <row r="9" spans="1:14" ht="17.5" customHeight="1">
      <c r="A9" s="1052"/>
      <c r="B9" s="1207" t="s">
        <v>3</v>
      </c>
      <c r="C9" s="1207"/>
      <c r="D9" s="1207"/>
      <c r="E9" s="1207"/>
      <c r="F9" s="1207"/>
      <c r="G9" s="1207"/>
      <c r="H9" s="1207"/>
      <c r="I9" s="1207"/>
      <c r="J9" s="1207"/>
      <c r="K9" s="1052"/>
    </row>
    <row r="10" spans="1:14" ht="14">
      <c r="A10" s="1052"/>
      <c r="B10" s="887" t="s">
        <v>4</v>
      </c>
      <c r="C10" s="7"/>
      <c r="D10" s="7"/>
      <c r="E10" s="7"/>
      <c r="F10" s="7"/>
      <c r="G10" s="7"/>
      <c r="H10" s="7"/>
      <c r="I10" s="7"/>
      <c r="J10" s="7"/>
      <c r="K10" s="1052"/>
    </row>
    <row r="11" spans="1:14" ht="14">
      <c r="A11" s="1052"/>
      <c r="B11" s="5"/>
      <c r="C11" s="7"/>
      <c r="D11" s="7"/>
      <c r="E11" s="7"/>
      <c r="F11" s="7"/>
      <c r="G11" s="7"/>
      <c r="H11" s="7"/>
      <c r="I11" s="7"/>
      <c r="J11" s="7"/>
      <c r="K11" s="1052"/>
    </row>
    <row r="12" spans="1:14" ht="69" customHeight="1">
      <c r="A12" s="1052"/>
      <c r="B12" s="1207" t="s">
        <v>1152</v>
      </c>
      <c r="C12" s="1207"/>
      <c r="D12" s="1207"/>
      <c r="E12" s="1207"/>
      <c r="F12" s="1207"/>
      <c r="G12" s="1207"/>
      <c r="H12" s="1207"/>
      <c r="I12" s="1207"/>
      <c r="J12" s="1207"/>
      <c r="K12" s="1052"/>
    </row>
    <row r="13" spans="1:14" ht="14.5" customHeight="1">
      <c r="A13" s="1052"/>
      <c r="B13" s="6"/>
      <c r="C13" s="6"/>
      <c r="D13" s="6"/>
      <c r="E13" s="6"/>
      <c r="F13" s="6"/>
      <c r="G13" s="6"/>
      <c r="H13" s="6"/>
      <c r="I13" s="6"/>
      <c r="J13" s="6"/>
      <c r="K13" s="1052"/>
    </row>
    <row r="14" spans="1:14" ht="43" customHeight="1">
      <c r="A14" s="1052"/>
      <c r="B14" s="1207" t="s">
        <v>1173</v>
      </c>
      <c r="C14" s="1207"/>
      <c r="D14" s="1207"/>
      <c r="E14" s="1207"/>
      <c r="F14" s="1207"/>
      <c r="G14" s="1207"/>
      <c r="H14" s="1207"/>
      <c r="I14" s="1207"/>
      <c r="J14" s="1207"/>
      <c r="K14" s="1052"/>
    </row>
    <row r="15" spans="1:14" ht="47.5" customHeight="1">
      <c r="A15" s="1052"/>
      <c r="B15" s="1212" t="s">
        <v>1183</v>
      </c>
      <c r="C15" s="1212"/>
      <c r="D15" s="1212"/>
      <c r="E15" s="1212"/>
      <c r="F15" s="1212"/>
      <c r="G15" s="1212"/>
      <c r="H15" s="1212"/>
      <c r="I15" s="1212"/>
      <c r="J15" s="1212"/>
      <c r="K15" s="1052"/>
    </row>
    <row r="16" spans="1:14" ht="17" customHeight="1">
      <c r="A16" s="1052"/>
      <c r="B16" s="1211"/>
      <c r="C16" s="1211"/>
      <c r="D16" s="1211"/>
      <c r="E16" s="1211"/>
      <c r="F16" s="1211"/>
      <c r="G16" s="1211"/>
      <c r="H16" s="1211"/>
      <c r="I16" s="1211"/>
      <c r="J16" s="1211"/>
      <c r="K16" s="1052"/>
    </row>
    <row r="17" spans="1:11" ht="14">
      <c r="A17" s="1052"/>
      <c r="B17" s="884" t="s">
        <v>5</v>
      </c>
      <c r="C17" s="6"/>
      <c r="D17" s="6"/>
      <c r="E17" s="6"/>
      <c r="F17" s="6"/>
      <c r="G17" s="6"/>
      <c r="H17" s="6"/>
      <c r="I17" s="6"/>
      <c r="J17" s="6"/>
      <c r="K17" s="1052"/>
    </row>
    <row r="18" spans="1:11" ht="42" customHeight="1">
      <c r="A18" s="1052"/>
      <c r="B18" s="1207" t="s">
        <v>1158</v>
      </c>
      <c r="C18" s="1207"/>
      <c r="D18" s="1207"/>
      <c r="E18" s="1207"/>
      <c r="F18" s="1207"/>
      <c r="G18" s="1207"/>
      <c r="H18" s="1207"/>
      <c r="I18" s="1207"/>
      <c r="J18" s="1207"/>
      <c r="K18" s="1052"/>
    </row>
    <row r="19" spans="1:11" ht="19.5" customHeight="1">
      <c r="A19" s="1052"/>
      <c r="B19" s="1207" t="s">
        <v>971</v>
      </c>
      <c r="C19" s="1207"/>
      <c r="D19" s="1207"/>
      <c r="E19" s="1207"/>
      <c r="F19" s="1207"/>
      <c r="G19" s="1207"/>
      <c r="H19" s="1207"/>
      <c r="I19" s="1207"/>
      <c r="J19" s="1207"/>
      <c r="K19" s="1052"/>
    </row>
    <row r="20" spans="1:11" ht="18" customHeight="1">
      <c r="A20" s="1052"/>
      <c r="B20" s="6"/>
      <c r="C20" s="6"/>
      <c r="D20" s="6"/>
      <c r="E20" s="6"/>
      <c r="F20" s="6"/>
      <c r="G20" s="6"/>
      <c r="H20" s="6"/>
      <c r="I20" s="6"/>
      <c r="J20" s="6"/>
      <c r="K20" s="1052"/>
    </row>
    <row r="21" spans="1:11" ht="14">
      <c r="A21" s="1052"/>
      <c r="B21" s="1206" t="s">
        <v>6</v>
      </c>
      <c r="C21" s="1206"/>
      <c r="D21" s="1206"/>
      <c r="E21" s="1206"/>
      <c r="F21" s="1206"/>
      <c r="G21" s="1206"/>
      <c r="H21" s="1206"/>
      <c r="I21" s="1206"/>
      <c r="J21" s="1206"/>
      <c r="K21" s="1052"/>
    </row>
    <row r="22" spans="1:11" ht="51" customHeight="1">
      <c r="A22" s="1054"/>
      <c r="B22" s="1207" t="s">
        <v>1174</v>
      </c>
      <c r="C22" s="1207"/>
      <c r="D22" s="1207"/>
      <c r="E22" s="1207"/>
      <c r="F22" s="1207"/>
      <c r="G22" s="1207"/>
      <c r="H22" s="1207"/>
      <c r="I22" s="1207"/>
      <c r="J22" s="1207"/>
      <c r="K22" s="1054"/>
    </row>
    <row r="23" spans="1:11" ht="38.4" customHeight="1">
      <c r="A23" s="1055"/>
      <c r="B23" s="1208"/>
      <c r="C23" s="1208"/>
      <c r="D23" s="1208"/>
      <c r="E23" s="1208"/>
      <c r="F23" s="1208"/>
      <c r="G23" s="1208"/>
      <c r="H23" s="1208"/>
      <c r="I23" s="1208"/>
      <c r="J23" s="1208"/>
      <c r="K23" s="1055"/>
    </row>
  </sheetData>
  <sheetProtection algorithmName="SHA-512" hashValue="a6h7IrMr6435Py+66PnmYwT9PPeg1bAn/CkiARnUHqX2oKIZGZDMJcP5RE4FBALreEIAQ7j7FDDEHRQ9A5mGOA==" saltValue="plzJjc+GVGYfthTsJjxQTQ==" spinCount="100000" sheet="1" objects="1" scenarios="1"/>
  <mergeCells count="13">
    <mergeCell ref="B21:J21"/>
    <mergeCell ref="B22:J22"/>
    <mergeCell ref="B23:J23"/>
    <mergeCell ref="B2:J2"/>
    <mergeCell ref="B3:J3"/>
    <mergeCell ref="B6:J6"/>
    <mergeCell ref="B9:J9"/>
    <mergeCell ref="B12:J12"/>
    <mergeCell ref="B16:J16"/>
    <mergeCell ref="B18:J18"/>
    <mergeCell ref="B19:J19"/>
    <mergeCell ref="B14:J14"/>
    <mergeCell ref="B15:J15"/>
  </mergeCells>
  <pageMargins left="0.70866141732283472" right="0.70866141732283472" top="0.74803149606299213" bottom="0.74803149606299213" header="0.31496062992125984" footer="0.31496062992125984"/>
  <pageSetup paperSize="9" scale="65"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C7105-3513-41CB-AF58-D4FB2BF474AE}">
  <sheetPr codeName="Sheet1">
    <tabColor theme="3"/>
    <pageSetUpPr fitToPage="1"/>
  </sheetPr>
  <dimension ref="A2:N17"/>
  <sheetViews>
    <sheetView zoomScale="80" zoomScaleNormal="80" workbookViewId="0"/>
  </sheetViews>
  <sheetFormatPr defaultColWidth="8.81640625" defaultRowHeight="13.5"/>
  <cols>
    <col min="1" max="1" width="3" style="2" customWidth="1"/>
    <col min="2" max="2" width="49.81640625" style="2" customWidth="1"/>
    <col min="3" max="3" width="19" style="2" customWidth="1"/>
    <col min="4" max="4" width="14.1796875" style="2" customWidth="1"/>
    <col min="5" max="5" width="37" style="2" customWidth="1"/>
    <col min="6" max="10" width="14.1796875" style="2" customWidth="1"/>
    <col min="11" max="16384" width="8.81640625" style="2"/>
  </cols>
  <sheetData>
    <row r="2" spans="1:14" ht="31" customHeight="1">
      <c r="B2" s="1056" t="s">
        <v>7</v>
      </c>
      <c r="C2" s="834"/>
      <c r="D2" s="835"/>
      <c r="E2" s="835"/>
      <c r="F2" s="8"/>
      <c r="G2" s="8"/>
      <c r="H2" s="8"/>
      <c r="I2" s="8"/>
      <c r="J2" s="8"/>
      <c r="K2" s="8"/>
      <c r="L2" s="8"/>
      <c r="M2" s="8"/>
      <c r="N2" s="8"/>
    </row>
    <row r="3" spans="1:14" ht="18.649999999999999" customHeight="1">
      <c r="B3" s="888"/>
      <c r="C3" s="836"/>
      <c r="D3" s="837"/>
      <c r="E3" s="837"/>
      <c r="F3" s="9"/>
      <c r="G3" s="9"/>
      <c r="H3" s="9"/>
      <c r="I3" s="9"/>
      <c r="J3" s="9"/>
    </row>
    <row r="4" spans="1:14" ht="18" customHeight="1">
      <c r="A4" s="449"/>
      <c r="B4" s="1057" t="s">
        <v>891</v>
      </c>
      <c r="C4" s="1058"/>
      <c r="D4" s="1058"/>
      <c r="E4" s="1058"/>
    </row>
    <row r="5" spans="1:14" ht="18" customHeight="1">
      <c r="A5" s="449"/>
      <c r="B5" s="1059" t="s">
        <v>8</v>
      </c>
      <c r="C5" s="1058"/>
      <c r="D5" s="1058"/>
      <c r="E5" s="1058"/>
    </row>
    <row r="6" spans="1:14" ht="18" customHeight="1">
      <c r="A6" s="449"/>
      <c r="B6" s="1059" t="s">
        <v>9</v>
      </c>
      <c r="C6" s="1058"/>
      <c r="D6" s="1058"/>
      <c r="E6" s="1058"/>
    </row>
    <row r="7" spans="1:14" ht="18" customHeight="1">
      <c r="A7" s="449"/>
      <c r="B7" s="1059" t="s">
        <v>10</v>
      </c>
      <c r="C7" s="1058"/>
      <c r="D7" s="1058"/>
      <c r="E7" s="1058"/>
    </row>
    <row r="8" spans="1:14" ht="18" customHeight="1">
      <c r="A8" s="449"/>
      <c r="B8" s="1059" t="s">
        <v>11</v>
      </c>
      <c r="C8" s="1058"/>
      <c r="D8" s="1058"/>
      <c r="E8" s="1058"/>
    </row>
    <row r="9" spans="1:14" ht="18" customHeight="1">
      <c r="A9" s="449"/>
      <c r="B9" s="1059" t="s">
        <v>12</v>
      </c>
      <c r="C9" s="1058"/>
      <c r="D9" s="1058"/>
      <c r="E9" s="1058"/>
    </row>
    <row r="10" spans="1:14" ht="18" customHeight="1">
      <c r="A10" s="449"/>
      <c r="B10" s="1059" t="s">
        <v>1171</v>
      </c>
      <c r="C10" s="1058"/>
      <c r="D10" s="1058"/>
      <c r="E10" s="1058"/>
    </row>
    <row r="11" spans="1:14" ht="18" customHeight="1">
      <c r="A11" s="449"/>
      <c r="B11" s="1059" t="s">
        <v>1172</v>
      </c>
      <c r="C11" s="1058"/>
      <c r="D11" s="1058"/>
      <c r="E11" s="1058"/>
    </row>
    <row r="12" spans="1:14" ht="18" customHeight="1">
      <c r="A12" s="449"/>
      <c r="B12" s="1059" t="s">
        <v>15</v>
      </c>
      <c r="C12" s="1058"/>
      <c r="D12" s="1058"/>
      <c r="E12" s="1058"/>
    </row>
    <row r="13" spans="1:14" ht="18" customHeight="1">
      <c r="A13" s="449"/>
      <c r="B13" s="1059" t="s">
        <v>14</v>
      </c>
      <c r="C13" s="1058"/>
      <c r="D13" s="1058"/>
      <c r="E13" s="1058"/>
    </row>
    <row r="14" spans="1:14" ht="18" customHeight="1">
      <c r="A14" s="449"/>
      <c r="B14" s="1059" t="s">
        <v>16</v>
      </c>
      <c r="C14" s="1058"/>
      <c r="D14" s="1058"/>
      <c r="E14" s="1058"/>
    </row>
    <row r="15" spans="1:14" ht="18" customHeight="1">
      <c r="A15" s="449"/>
      <c r="B15" s="1059" t="s">
        <v>17</v>
      </c>
      <c r="C15" s="1058"/>
      <c r="D15" s="1058"/>
      <c r="E15" s="1058"/>
    </row>
    <row r="16" spans="1:14" ht="18" customHeight="1">
      <c r="A16" s="449"/>
      <c r="B16" s="1059" t="s">
        <v>18</v>
      </c>
      <c r="C16" s="1058"/>
      <c r="D16" s="1058"/>
      <c r="E16" s="1058"/>
    </row>
    <row r="17" spans="2:5" ht="14.5" customHeight="1">
      <c r="B17" s="834"/>
      <c r="C17" s="834"/>
      <c r="D17" s="834"/>
      <c r="E17" s="834"/>
    </row>
  </sheetData>
  <sheetProtection algorithmName="SHA-512" hashValue="mXcO7Rk3CuXHO1OI7VZySEdsfDkpioK8gEG8zPuf/XHQ6wBZyhasCj6bTP7sJvs5PSuYc/INTnkjiJ4fOVdpbw==" saltValue="KMladVRB1YY5YV7X1PUphA==" spinCount="100000" sheet="1" objects="1" scenarios="1"/>
  <hyperlinks>
    <hyperlink ref="B5" location="'GRI Content index in accordance'!A1" display="GRI Content Index in accordance" xr:uid="{7F5DFDF5-FEF3-45F3-876D-AB76B75BF463}"/>
    <hyperlink ref="B6" location="'SASB Index'!A1" display="SASB Index" xr:uid="{FE074972-410A-435D-91E1-252C8F59A80F}"/>
    <hyperlink ref="B7" location="'TCFD Compliance Table'!A1" display="TCFD Compliance Table" xr:uid="{DE7DEAE2-D20B-4126-92B9-AEA22D9A2D90}"/>
    <hyperlink ref="B8" location="'PAI statement'!A1" display="PAI Statement" xr:uid="{06DDF1C0-F925-4A84-9D5C-396377F4E17D}"/>
    <hyperlink ref="B9" location="'ERM CVS Audited metrics'!A1" display="ERM CVS Audited metrics" xr:uid="{B3B08489-F50B-45FB-B1D7-FA8CE32E8DC3}"/>
    <hyperlink ref="B10" location="'2030 targets'!A1" display="2030 targets" xr:uid="{87B28707-19FF-4E27-B2EB-EA55260F44F6}"/>
    <hyperlink ref="B11" location="Environment!A1" display="Environment" xr:uid="{BCFA1647-5EB9-4662-A571-49FF70179CD1}"/>
    <hyperlink ref="B13" location="'Health and Safety'!A1" display="Health and Safety" xr:uid="{F3FD2434-366A-4CCF-B1A4-AD5FCF76A749}"/>
    <hyperlink ref="B12" location="People!A1" display="People" xr:uid="{9AA10CB9-8D5D-45CA-8BA0-0C8A9D55782F}"/>
    <hyperlink ref="B14" location="'Ethics and Compliance'!A1" display="Ethics and Compliance" xr:uid="{BCD38343-DF9B-4126-B115-D3FA7E55B2B0}"/>
    <hyperlink ref="B15" location="'Community Investment'!A1" display="Community Investment" xr:uid="{EF6B5F51-59C1-4838-99E0-72D21E826A44}"/>
    <hyperlink ref="B16" location="'Responsible Sourcing'!A1" display="Responsible Sourcing" xr:uid="{B6796D86-FEDB-469F-AABA-7A5E5C6F73B6}"/>
    <hyperlink ref="B4" location="'Material Topics'!A1" display="Material Topics" xr:uid="{A992F81B-A40F-49AE-B248-73FDD9EC5958}"/>
  </hyperlinks>
  <pageMargins left="0.70866141732283472" right="0.70866141732283472" top="0.74803149606299213" bottom="0.74803149606299213" header="0.31496062992125984" footer="0.31496062992125984"/>
  <pageSetup paperSize="9" orientation="landscape" r:id="rId1"/>
  <rowBreaks count="1" manualBreakCount="1">
    <brk id="18" max="16383" man="1"/>
  </rowBreaks>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76062-0188-4294-AD95-F2474916B3D0}">
  <sheetPr>
    <tabColor theme="3"/>
    <pageSetUpPr fitToPage="1"/>
  </sheetPr>
  <dimension ref="B2:Q17"/>
  <sheetViews>
    <sheetView zoomScale="80" zoomScaleNormal="80" workbookViewId="0"/>
  </sheetViews>
  <sheetFormatPr defaultColWidth="8.81640625" defaultRowHeight="13.5"/>
  <cols>
    <col min="1" max="1" width="2.26953125" style="2" customWidth="1"/>
    <col min="2" max="2" width="11.54296875" style="2" customWidth="1"/>
    <col min="3" max="3" width="12.08984375" style="2" customWidth="1"/>
    <col min="4" max="16" width="8.81640625" style="2"/>
    <col min="17" max="17" width="6.7265625" style="2" customWidth="1"/>
    <col min="18" max="16384" width="8.81640625" style="2"/>
  </cols>
  <sheetData>
    <row r="2" spans="2:17" ht="24.5">
      <c r="B2" s="1060" t="s">
        <v>891</v>
      </c>
      <c r="C2" s="1061"/>
      <c r="D2" s="1061"/>
    </row>
    <row r="4" spans="2:17" ht="52" customHeight="1">
      <c r="B4" s="1213" t="s">
        <v>902</v>
      </c>
      <c r="C4" s="1213"/>
      <c r="D4" s="1213"/>
      <c r="E4" s="1213"/>
      <c r="F4" s="1213"/>
      <c r="G4" s="1213"/>
      <c r="H4" s="1213"/>
      <c r="I4" s="1213"/>
      <c r="J4" s="1213"/>
      <c r="K4" s="1213"/>
      <c r="L4" s="1213"/>
      <c r="M4" s="1213"/>
      <c r="N4" s="1213"/>
      <c r="O4" s="1213"/>
      <c r="P4" s="1213"/>
    </row>
    <row r="5" spans="2:17">
      <c r="B5" s="78" t="s">
        <v>903</v>
      </c>
      <c r="C5" s="78"/>
      <c r="D5" s="78"/>
      <c r="E5" s="78"/>
    </row>
    <row r="6" spans="2:17" ht="3.5" customHeight="1"/>
    <row r="7" spans="2:17" ht="31.25" customHeight="1">
      <c r="B7" s="1214" t="s">
        <v>421</v>
      </c>
      <c r="C7" s="1199" t="s">
        <v>892</v>
      </c>
      <c r="D7" s="1175"/>
      <c r="E7" s="1175"/>
      <c r="F7" s="1175"/>
      <c r="G7" s="1176"/>
      <c r="H7" s="1177"/>
      <c r="I7" s="1177"/>
      <c r="J7" s="1177"/>
      <c r="K7" s="1177"/>
      <c r="L7" s="1177"/>
      <c r="M7" s="1177"/>
      <c r="N7" s="1177"/>
      <c r="O7" s="1177"/>
      <c r="P7" s="1177"/>
      <c r="Q7" s="1178"/>
    </row>
    <row r="8" spans="2:17" ht="31.25" customHeight="1">
      <c r="B8" s="1215"/>
      <c r="C8" s="1200" t="s">
        <v>893</v>
      </c>
      <c r="D8" s="1179"/>
      <c r="E8" s="1179"/>
      <c r="F8" s="1179"/>
      <c r="G8" s="1180"/>
      <c r="H8" s="1181"/>
      <c r="I8" s="1181"/>
      <c r="J8" s="1181"/>
      <c r="K8" s="1181"/>
      <c r="L8" s="1181"/>
      <c r="M8" s="1181"/>
      <c r="N8" s="1181"/>
      <c r="O8" s="1181"/>
      <c r="P8" s="1181"/>
      <c r="Q8" s="1182"/>
    </row>
    <row r="9" spans="2:17" ht="31.25" customHeight="1">
      <c r="B9" s="1215"/>
      <c r="C9" s="1200" t="s">
        <v>894</v>
      </c>
      <c r="D9" s="1179"/>
      <c r="E9" s="1179"/>
      <c r="F9" s="1179"/>
      <c r="G9" s="1180"/>
      <c r="H9" s="1181"/>
      <c r="I9" s="1181"/>
      <c r="J9" s="1181"/>
      <c r="K9" s="1181"/>
      <c r="L9" s="1181"/>
      <c r="M9" s="1181"/>
      <c r="N9" s="1181"/>
      <c r="O9" s="1181"/>
      <c r="P9" s="1181"/>
      <c r="Q9" s="1182"/>
    </row>
    <row r="10" spans="2:17" ht="31.25" customHeight="1">
      <c r="B10" s="1215"/>
      <c r="C10" s="1200" t="s">
        <v>895</v>
      </c>
      <c r="D10" s="1179"/>
      <c r="E10" s="1179"/>
      <c r="F10" s="1179"/>
      <c r="G10" s="1180"/>
      <c r="H10" s="1181"/>
      <c r="I10" s="1181"/>
      <c r="J10" s="1181"/>
      <c r="K10" s="1181"/>
      <c r="L10" s="1181"/>
      <c r="M10" s="1181"/>
      <c r="N10" s="1181"/>
      <c r="O10" s="1181"/>
      <c r="P10" s="1181"/>
      <c r="Q10" s="1182"/>
    </row>
    <row r="11" spans="2:17" ht="31.25" customHeight="1">
      <c r="B11" s="1216"/>
      <c r="C11" s="1201" t="s">
        <v>896</v>
      </c>
      <c r="D11" s="1183"/>
      <c r="E11" s="1183"/>
      <c r="F11" s="1183"/>
      <c r="G11" s="1184"/>
      <c r="H11" s="1185"/>
      <c r="I11" s="1185"/>
      <c r="J11" s="1185"/>
      <c r="K11" s="1185"/>
      <c r="L11" s="1185"/>
      <c r="M11" s="1185"/>
      <c r="N11" s="1185"/>
      <c r="O11" s="1185"/>
      <c r="P11" s="1185"/>
      <c r="Q11" s="1186"/>
    </row>
    <row r="12" spans="2:17" ht="31.25" customHeight="1">
      <c r="B12" s="1217" t="s">
        <v>15</v>
      </c>
      <c r="C12" s="1202" t="s">
        <v>14</v>
      </c>
      <c r="D12" s="1187"/>
      <c r="E12" s="1187"/>
      <c r="F12" s="1187"/>
      <c r="G12" s="1188"/>
      <c r="H12" s="1189"/>
      <c r="I12" s="1189"/>
      <c r="J12" s="1189"/>
      <c r="K12" s="1189"/>
      <c r="L12" s="1189"/>
      <c r="M12" s="1189"/>
      <c r="N12" s="1189"/>
      <c r="O12" s="1189"/>
      <c r="P12" s="1189"/>
      <c r="Q12" s="1190"/>
    </row>
    <row r="13" spans="2:17" ht="31.25" customHeight="1">
      <c r="B13" s="1218"/>
      <c r="C13" s="1203" t="s">
        <v>897</v>
      </c>
      <c r="D13" s="1172"/>
      <c r="E13" s="1172"/>
      <c r="F13" s="1172"/>
      <c r="G13" s="1173"/>
      <c r="H13" s="1174"/>
      <c r="I13" s="1174"/>
      <c r="J13" s="1174"/>
      <c r="K13" s="1174"/>
      <c r="L13" s="1174"/>
      <c r="M13" s="1174"/>
      <c r="N13" s="1174"/>
      <c r="O13" s="1174"/>
      <c r="P13" s="1174"/>
      <c r="Q13" s="1191"/>
    </row>
    <row r="14" spans="2:17" ht="31.25" customHeight="1">
      <c r="B14" s="1218"/>
      <c r="C14" s="1203" t="s">
        <v>898</v>
      </c>
      <c r="D14" s="1172"/>
      <c r="E14" s="1172"/>
      <c r="F14" s="1172"/>
      <c r="G14" s="1173"/>
      <c r="H14" s="1174"/>
      <c r="I14" s="1174"/>
      <c r="J14" s="1174"/>
      <c r="K14" s="1174"/>
      <c r="L14" s="1174"/>
      <c r="M14" s="1174"/>
      <c r="N14" s="1174"/>
      <c r="O14" s="1174"/>
      <c r="P14" s="1174"/>
      <c r="Q14" s="1191"/>
    </row>
    <row r="15" spans="2:17" ht="31.25" customHeight="1">
      <c r="B15" s="1218"/>
      <c r="C15" s="1203" t="s">
        <v>899</v>
      </c>
      <c r="D15" s="1172"/>
      <c r="E15" s="1172"/>
      <c r="F15" s="1172"/>
      <c r="G15" s="1173"/>
      <c r="H15" s="1174"/>
      <c r="I15" s="1174"/>
      <c r="J15" s="1174"/>
      <c r="K15" s="1174"/>
      <c r="L15" s="1174"/>
      <c r="M15" s="1174"/>
      <c r="N15" s="1174"/>
      <c r="O15" s="1174"/>
      <c r="P15" s="1174"/>
      <c r="Q15" s="1191"/>
    </row>
    <row r="16" spans="2:17" ht="31.25" customHeight="1">
      <c r="B16" s="1219"/>
      <c r="C16" s="1204" t="s">
        <v>900</v>
      </c>
      <c r="D16" s="1192"/>
      <c r="E16" s="1192"/>
      <c r="F16" s="1192"/>
      <c r="G16" s="1193"/>
      <c r="H16" s="1194"/>
      <c r="I16" s="1194"/>
      <c r="J16" s="1194"/>
      <c r="K16" s="1194"/>
      <c r="L16" s="1194"/>
      <c r="M16" s="1194"/>
      <c r="N16" s="1194"/>
      <c r="O16" s="1194"/>
      <c r="P16" s="1194"/>
      <c r="Q16" s="1195"/>
    </row>
    <row r="17" spans="2:17" ht="31.25" customHeight="1">
      <c r="B17" s="1220" t="s">
        <v>901</v>
      </c>
      <c r="C17" s="1221"/>
      <c r="D17" s="1221"/>
      <c r="E17" s="1221"/>
      <c r="F17" s="1221"/>
      <c r="G17" s="1196"/>
      <c r="H17" s="1197"/>
      <c r="I17" s="1197"/>
      <c r="J17" s="1197"/>
      <c r="K17" s="1197"/>
      <c r="L17" s="1197"/>
      <c r="M17" s="1197"/>
      <c r="N17" s="1197"/>
      <c r="O17" s="1197"/>
      <c r="P17" s="1197"/>
      <c r="Q17" s="1198"/>
    </row>
  </sheetData>
  <sheetProtection algorithmName="SHA-512" hashValue="95AvXoy0fgvXHjFqKstL+Rp476KzgOWR5pIzvR/AM5GdKICRAC/maIrLUwpABSHcTohVDsWVmZ3hu9yRvWpX6w==" saltValue="6wdAVOJVoyj7R8TFNTRgtQ==" spinCount="100000" sheet="1" objects="1" scenarios="1"/>
  <mergeCells count="4">
    <mergeCell ref="B4:P4"/>
    <mergeCell ref="B7:B11"/>
    <mergeCell ref="B12:B16"/>
    <mergeCell ref="B17:F17"/>
  </mergeCells>
  <pageMargins left="0.70866141732283472" right="0.70866141732283472" top="0.74803149606299213" bottom="0.74803149606299213" header="0.31496062992125984" footer="0.31496062992125984"/>
  <pageSetup paperSize="9" scale="8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B7F17-A6F8-43F6-BF93-4BD458D1BEB8}">
  <sheetPr codeName="Sheet11">
    <pageSetUpPr fitToPage="1"/>
  </sheetPr>
  <dimension ref="B2:R205"/>
  <sheetViews>
    <sheetView zoomScale="80" zoomScaleNormal="80" workbookViewId="0"/>
  </sheetViews>
  <sheetFormatPr defaultColWidth="9.1796875" defaultRowHeight="17.5"/>
  <cols>
    <col min="1" max="1" width="4.26953125" style="64" customWidth="1"/>
    <col min="2" max="2" width="22.08984375" style="679" customWidth="1"/>
    <col min="3" max="3" width="49.1796875" style="679" customWidth="1"/>
    <col min="4" max="4" width="83.453125" style="64" customWidth="1"/>
    <col min="5" max="5" width="52.26953125" style="64" customWidth="1"/>
    <col min="6" max="6" width="22.36328125" style="64" customWidth="1"/>
    <col min="7" max="7" width="12.6328125" style="64" customWidth="1"/>
    <col min="8" max="8" width="19.453125" style="64" customWidth="1"/>
    <col min="9" max="9" width="13" style="64" customWidth="1"/>
    <col min="10" max="10" width="47.453125" style="64" customWidth="1"/>
    <col min="11" max="16384" width="9.1796875" style="64"/>
  </cols>
  <sheetData>
    <row r="2" spans="2:18" ht="33.65" customHeight="1">
      <c r="B2" s="1291" t="s">
        <v>19</v>
      </c>
      <c r="C2" s="1291"/>
      <c r="D2" s="1291"/>
      <c r="E2" s="1291"/>
      <c r="F2" s="1291"/>
      <c r="G2" s="1291"/>
      <c r="H2" s="1291"/>
      <c r="I2" s="1291"/>
    </row>
    <row r="3" spans="2:18" ht="4.25" customHeight="1"/>
    <row r="4" spans="2:18" ht="22" customHeight="1">
      <c r="B4" s="1289" t="s">
        <v>20</v>
      </c>
      <c r="C4" s="1289"/>
      <c r="D4" s="1222" t="s">
        <v>21</v>
      </c>
      <c r="E4" s="1222"/>
    </row>
    <row r="5" spans="2:18" ht="14.5" customHeight="1">
      <c r="B5" s="1290" t="s">
        <v>22</v>
      </c>
      <c r="C5" s="1290"/>
      <c r="D5" s="1223" t="s">
        <v>23</v>
      </c>
      <c r="E5" s="1223"/>
    </row>
    <row r="6" spans="2:18" ht="14.5" hidden="1" customHeight="1">
      <c r="B6" s="680" t="s">
        <v>24</v>
      </c>
      <c r="C6" s="680"/>
      <c r="D6" s="689" t="s">
        <v>25</v>
      </c>
    </row>
    <row r="7" spans="2:18" ht="3" customHeight="1">
      <c r="C7" s="681"/>
      <c r="D7" s="527"/>
      <c r="F7" s="527"/>
      <c r="G7" s="527"/>
      <c r="H7" s="527"/>
      <c r="I7" s="461"/>
    </row>
    <row r="8" spans="2:18" ht="13.5">
      <c r="B8" s="10" t="s">
        <v>26</v>
      </c>
      <c r="C8" s="64"/>
      <c r="D8" s="10"/>
      <c r="F8" s="527"/>
      <c r="G8" s="527"/>
      <c r="H8" s="527"/>
      <c r="I8" s="461"/>
      <c r="M8" s="1302"/>
      <c r="N8" s="1302"/>
      <c r="O8" s="1302"/>
      <c r="P8" s="1302"/>
      <c r="Q8" s="1302"/>
      <c r="R8" s="1302"/>
    </row>
    <row r="9" spans="2:18" ht="13.5">
      <c r="B9" s="11" t="s">
        <v>27</v>
      </c>
      <c r="C9" s="64"/>
      <c r="D9" s="10"/>
      <c r="E9" s="527"/>
      <c r="F9" s="527"/>
      <c r="G9" s="527"/>
      <c r="H9" s="527"/>
      <c r="I9" s="461"/>
      <c r="M9" s="1302"/>
      <c r="N9" s="1302"/>
      <c r="O9" s="1302"/>
      <c r="P9" s="1302"/>
      <c r="Q9" s="1302"/>
      <c r="R9" s="1302"/>
    </row>
    <row r="10" spans="2:18" ht="13.5">
      <c r="B10" s="11" t="s">
        <v>28</v>
      </c>
      <c r="C10" s="64"/>
      <c r="D10" s="10"/>
      <c r="E10" s="527"/>
      <c r="F10" s="527"/>
      <c r="G10" s="527"/>
      <c r="H10" s="527"/>
      <c r="I10" s="461"/>
      <c r="M10" s="1302"/>
      <c r="N10" s="1302"/>
      <c r="O10" s="1302"/>
      <c r="P10" s="1302"/>
      <c r="Q10" s="1302"/>
      <c r="R10" s="1302"/>
    </row>
    <row r="11" spans="2:18" ht="0.5" customHeight="1">
      <c r="C11" s="681"/>
      <c r="D11" s="527"/>
      <c r="E11" s="527"/>
      <c r="F11" s="527"/>
      <c r="G11" s="527"/>
      <c r="H11" s="527"/>
      <c r="I11" s="461"/>
      <c r="M11" s="1302"/>
      <c r="N11" s="1302"/>
      <c r="O11" s="1302"/>
      <c r="P11" s="1302"/>
      <c r="Q11" s="1302"/>
      <c r="R11" s="1302"/>
    </row>
    <row r="12" spans="2:18" ht="14.4" customHeight="1">
      <c r="B12" s="1246" t="s">
        <v>1076</v>
      </c>
      <c r="C12" s="1306" t="s">
        <v>1137</v>
      </c>
      <c r="D12" s="1306" t="s">
        <v>1138</v>
      </c>
      <c r="E12" s="1309" t="s">
        <v>1139</v>
      </c>
      <c r="F12" s="1309" t="s">
        <v>1143</v>
      </c>
      <c r="G12" s="1309"/>
      <c r="H12" s="1309"/>
      <c r="I12" s="1306" t="s">
        <v>1144</v>
      </c>
      <c r="M12" s="1302"/>
      <c r="N12" s="1302"/>
      <c r="O12" s="1302"/>
      <c r="P12" s="1302"/>
      <c r="Q12" s="1302"/>
      <c r="R12" s="1302"/>
    </row>
    <row r="13" spans="2:18" ht="30" customHeight="1">
      <c r="B13" s="1247"/>
      <c r="C13" s="1307"/>
      <c r="D13" s="1307"/>
      <c r="E13" s="1310"/>
      <c r="F13" s="1062" t="s">
        <v>1140</v>
      </c>
      <c r="G13" s="1062" t="s">
        <v>1141</v>
      </c>
      <c r="H13" s="1062" t="s">
        <v>1142</v>
      </c>
      <c r="I13" s="1307"/>
      <c r="M13" s="1302"/>
      <c r="N13" s="1302"/>
      <c r="O13" s="1302"/>
      <c r="P13" s="1302"/>
      <c r="Q13" s="1302"/>
      <c r="R13" s="1302"/>
    </row>
    <row r="14" spans="2:18">
      <c r="B14" s="1033"/>
      <c r="C14" s="1292" t="s">
        <v>29</v>
      </c>
      <c r="D14" s="1292"/>
      <c r="E14" s="1292"/>
      <c r="F14" s="1292"/>
      <c r="G14" s="1292"/>
      <c r="H14" s="1292"/>
      <c r="I14" s="1293"/>
      <c r="M14" s="1302"/>
      <c r="N14" s="1302"/>
      <c r="O14" s="1302"/>
      <c r="P14" s="1302"/>
      <c r="Q14" s="1302"/>
      <c r="R14" s="1302"/>
    </row>
    <row r="15" spans="2:18" ht="13.5">
      <c r="B15" s="1230"/>
      <c r="C15" s="1308" t="s">
        <v>1175</v>
      </c>
      <c r="D15" s="1045" t="s">
        <v>30</v>
      </c>
      <c r="E15" s="889" t="s">
        <v>889</v>
      </c>
      <c r="F15" s="1313" t="s">
        <v>1080</v>
      </c>
      <c r="G15" s="1313"/>
      <c r="H15" s="1313"/>
      <c r="I15" s="1313"/>
    </row>
    <row r="16" spans="2:18" ht="17.5" customHeight="1">
      <c r="B16" s="1231"/>
      <c r="C16" s="1243"/>
      <c r="D16" s="555" t="s">
        <v>31</v>
      </c>
      <c r="E16" s="839" t="s">
        <v>1042</v>
      </c>
      <c r="F16" s="1314"/>
      <c r="G16" s="1314"/>
      <c r="H16" s="1314"/>
      <c r="I16" s="1314"/>
    </row>
    <row r="17" spans="2:10" ht="17.5" customHeight="1">
      <c r="B17" s="1231"/>
      <c r="C17" s="1243"/>
      <c r="D17" s="555" t="s">
        <v>32</v>
      </c>
      <c r="E17" s="839" t="s">
        <v>1043</v>
      </c>
      <c r="F17" s="1314"/>
      <c r="G17" s="1314"/>
      <c r="H17" s="1314"/>
      <c r="I17" s="1314"/>
      <c r="J17" s="544"/>
    </row>
    <row r="18" spans="2:10" ht="40.5">
      <c r="B18" s="1231"/>
      <c r="C18" s="1243"/>
      <c r="D18" s="555" t="s">
        <v>33</v>
      </c>
      <c r="E18" s="839" t="s">
        <v>1070</v>
      </c>
      <c r="F18" s="1314"/>
      <c r="G18" s="1314"/>
      <c r="H18" s="1314"/>
      <c r="I18" s="1314"/>
    </row>
    <row r="19" spans="2:10" ht="17.5" customHeight="1">
      <c r="B19" s="1231"/>
      <c r="C19" s="1243"/>
      <c r="D19" s="555" t="s">
        <v>34</v>
      </c>
      <c r="E19" s="839" t="s">
        <v>890</v>
      </c>
      <c r="F19" s="1314"/>
      <c r="G19" s="1314"/>
      <c r="H19" s="1314"/>
      <c r="I19" s="1314"/>
    </row>
    <row r="20" spans="2:10" ht="17.5" customHeight="1">
      <c r="B20" s="1231"/>
      <c r="C20" s="1243"/>
      <c r="D20" s="555" t="s">
        <v>35</v>
      </c>
      <c r="E20" s="839" t="s">
        <v>1045</v>
      </c>
      <c r="F20" s="558"/>
      <c r="G20" s="558"/>
      <c r="H20" s="558"/>
      <c r="I20" s="1311"/>
    </row>
    <row r="21" spans="2:10" ht="30" customHeight="1">
      <c r="B21" s="1231"/>
      <c r="C21" s="1243"/>
      <c r="D21" s="555" t="s">
        <v>36</v>
      </c>
      <c r="E21" s="839" t="s">
        <v>1046</v>
      </c>
      <c r="F21" s="558"/>
      <c r="G21" s="558"/>
      <c r="H21" s="558"/>
      <c r="I21" s="1311"/>
    </row>
    <row r="22" spans="2:10" ht="27">
      <c r="B22" s="1231"/>
      <c r="C22" s="1243"/>
      <c r="D22" s="555" t="s">
        <v>37</v>
      </c>
      <c r="E22" s="839" t="s">
        <v>1047</v>
      </c>
      <c r="F22" s="558"/>
      <c r="G22" s="558"/>
      <c r="H22" s="558"/>
      <c r="I22" s="1311"/>
    </row>
    <row r="23" spans="2:10" ht="17.5" customHeight="1">
      <c r="B23" s="1231"/>
      <c r="C23" s="1243"/>
      <c r="D23" s="555" t="s">
        <v>39</v>
      </c>
      <c r="E23" s="839" t="s">
        <v>909</v>
      </c>
      <c r="F23" s="558"/>
      <c r="G23" s="558"/>
      <c r="H23" s="558"/>
      <c r="I23" s="1311"/>
    </row>
    <row r="24" spans="2:10" ht="17.5" customHeight="1">
      <c r="B24" s="1231"/>
      <c r="C24" s="1243"/>
      <c r="D24" s="559" t="s">
        <v>40</v>
      </c>
      <c r="E24" s="839" t="s">
        <v>910</v>
      </c>
      <c r="F24" s="558"/>
      <c r="G24" s="558"/>
      <c r="H24" s="558"/>
      <c r="I24" s="1311"/>
    </row>
    <row r="25" spans="2:10" ht="17.5" customHeight="1">
      <c r="B25" s="1231"/>
      <c r="C25" s="1243"/>
      <c r="D25" s="559" t="s">
        <v>41</v>
      </c>
      <c r="E25" s="839" t="s">
        <v>911</v>
      </c>
      <c r="F25" s="558"/>
      <c r="G25" s="558"/>
      <c r="H25" s="558"/>
      <c r="I25" s="1311"/>
    </row>
    <row r="26" spans="2:10" ht="14.15" customHeight="1">
      <c r="B26" s="1231"/>
      <c r="C26" s="1243"/>
      <c r="D26" s="559" t="s">
        <v>42</v>
      </c>
      <c r="E26" s="839" t="s">
        <v>1048</v>
      </c>
      <c r="F26" s="558"/>
      <c r="G26" s="558"/>
      <c r="H26" s="558"/>
      <c r="I26" s="1311"/>
    </row>
    <row r="27" spans="2:10" ht="17.5" customHeight="1">
      <c r="B27" s="1231"/>
      <c r="C27" s="1243"/>
      <c r="D27" s="559" t="s">
        <v>43</v>
      </c>
      <c r="E27" s="839" t="s">
        <v>912</v>
      </c>
      <c r="F27" s="558"/>
      <c r="G27" s="558"/>
      <c r="H27" s="558"/>
      <c r="I27" s="1311"/>
    </row>
    <row r="28" spans="2:10" ht="17.5" customHeight="1">
      <c r="B28" s="1231"/>
      <c r="C28" s="1243"/>
      <c r="D28" s="559" t="s">
        <v>44</v>
      </c>
      <c r="E28" s="839" t="s">
        <v>913</v>
      </c>
      <c r="F28" s="558"/>
      <c r="G28" s="558"/>
      <c r="H28" s="558"/>
      <c r="I28" s="1311"/>
    </row>
    <row r="29" spans="2:10" ht="17.5" customHeight="1">
      <c r="B29" s="1231"/>
      <c r="C29" s="1243"/>
      <c r="D29" s="1321" t="s">
        <v>45</v>
      </c>
      <c r="E29" s="839" t="s">
        <v>1065</v>
      </c>
      <c r="F29" s="1260"/>
      <c r="G29" s="1260"/>
      <c r="H29" s="1260"/>
      <c r="I29" s="1311"/>
    </row>
    <row r="30" spans="2:10" ht="15" customHeight="1">
      <c r="B30" s="1231"/>
      <c r="C30" s="1243"/>
      <c r="D30" s="1321"/>
      <c r="E30" s="840" t="s">
        <v>914</v>
      </c>
      <c r="F30" s="1260"/>
      <c r="G30" s="1260"/>
      <c r="H30" s="1260"/>
      <c r="I30" s="1311"/>
    </row>
    <row r="31" spans="2:10" ht="27">
      <c r="B31" s="1231"/>
      <c r="C31" s="1243"/>
      <c r="D31" s="559" t="s">
        <v>46</v>
      </c>
      <c r="E31" s="839" t="s">
        <v>915</v>
      </c>
      <c r="F31" s="558"/>
      <c r="G31" s="558"/>
      <c r="H31" s="558"/>
      <c r="I31" s="1311"/>
    </row>
    <row r="32" spans="2:10" ht="17.5" customHeight="1">
      <c r="B32" s="1231"/>
      <c r="C32" s="1243"/>
      <c r="D32" s="559" t="s">
        <v>47</v>
      </c>
      <c r="E32" s="839" t="s">
        <v>916</v>
      </c>
      <c r="F32" s="558"/>
      <c r="G32" s="558"/>
      <c r="H32" s="558"/>
      <c r="I32" s="1311"/>
    </row>
    <row r="33" spans="2:16" ht="17.5" customHeight="1">
      <c r="B33" s="1231"/>
      <c r="C33" s="1243"/>
      <c r="D33" s="559" t="s">
        <v>48</v>
      </c>
      <c r="E33" s="839" t="s">
        <v>917</v>
      </c>
      <c r="F33" s="558"/>
      <c r="G33" s="558"/>
      <c r="H33" s="558"/>
      <c r="I33" s="1311"/>
    </row>
    <row r="34" spans="2:16" ht="17.5" customHeight="1">
      <c r="B34" s="1231"/>
      <c r="C34" s="1243"/>
      <c r="D34" s="559" t="s">
        <v>49</v>
      </c>
      <c r="E34" s="839" t="s">
        <v>918</v>
      </c>
      <c r="F34" s="558"/>
      <c r="G34" s="558"/>
      <c r="H34" s="558"/>
      <c r="I34" s="1311"/>
    </row>
    <row r="35" spans="2:16" ht="17.5" customHeight="1">
      <c r="B35" s="1231"/>
      <c r="C35" s="1243"/>
      <c r="D35" s="559" t="s">
        <v>50</v>
      </c>
      <c r="E35" s="839" t="s">
        <v>919</v>
      </c>
      <c r="F35" s="545"/>
      <c r="G35" s="558"/>
      <c r="H35" s="545"/>
      <c r="I35" s="1311"/>
    </row>
    <row r="36" spans="2:16" ht="17.5" customHeight="1">
      <c r="B36" s="1231"/>
      <c r="C36" s="1243"/>
      <c r="D36" s="559" t="s">
        <v>51</v>
      </c>
      <c r="E36" s="839" t="s">
        <v>919</v>
      </c>
      <c r="F36" s="545"/>
      <c r="G36" s="558"/>
      <c r="H36" s="545"/>
      <c r="I36" s="1311"/>
    </row>
    <row r="37" spans="2:16" ht="17.5" customHeight="1">
      <c r="B37" s="1231"/>
      <c r="C37" s="1243"/>
      <c r="D37" s="559" t="s">
        <v>52</v>
      </c>
      <c r="E37" s="839" t="s">
        <v>53</v>
      </c>
      <c r="F37" s="545"/>
      <c r="G37" s="558"/>
      <c r="H37" s="545"/>
      <c r="I37" s="1311"/>
    </row>
    <row r="38" spans="2:16" ht="13" customHeight="1">
      <c r="B38" s="1231"/>
      <c r="C38" s="1243"/>
      <c r="D38" s="1321" t="s">
        <v>54</v>
      </c>
      <c r="E38" s="839" t="s">
        <v>1066</v>
      </c>
      <c r="F38" s="1322"/>
      <c r="G38" s="1260"/>
      <c r="H38" s="1322"/>
      <c r="I38" s="1311"/>
    </row>
    <row r="39" spans="2:16" ht="13.5">
      <c r="B39" s="1231"/>
      <c r="C39" s="1243"/>
      <c r="D39" s="1321"/>
      <c r="E39" s="840" t="s">
        <v>923</v>
      </c>
      <c r="F39" s="1322"/>
      <c r="G39" s="1260"/>
      <c r="H39" s="1322"/>
      <c r="I39" s="1311"/>
    </row>
    <row r="40" spans="2:16" ht="17.5" customHeight="1">
      <c r="B40" s="1231"/>
      <c r="C40" s="1243"/>
      <c r="D40" s="559" t="s">
        <v>55</v>
      </c>
      <c r="E40" s="839" t="s">
        <v>1000</v>
      </c>
      <c r="F40" s="545"/>
      <c r="G40" s="558"/>
      <c r="H40" s="545"/>
      <c r="I40" s="1311"/>
    </row>
    <row r="41" spans="2:16" ht="17.5" customHeight="1">
      <c r="B41" s="1231"/>
      <c r="C41" s="1243"/>
      <c r="D41" s="559" t="s">
        <v>56</v>
      </c>
      <c r="E41" s="839" t="s">
        <v>58</v>
      </c>
      <c r="F41" s="545"/>
      <c r="G41" s="558"/>
      <c r="H41" s="545"/>
      <c r="I41" s="1311"/>
    </row>
    <row r="42" spans="2:16" ht="17.5" customHeight="1">
      <c r="B42" s="1231"/>
      <c r="C42" s="1243"/>
      <c r="D42" s="559" t="s">
        <v>57</v>
      </c>
      <c r="E42" s="839" t="s">
        <v>58</v>
      </c>
      <c r="F42" s="545"/>
      <c r="G42" s="558"/>
      <c r="H42" s="545"/>
      <c r="I42" s="1311"/>
    </row>
    <row r="43" spans="2:16" ht="27">
      <c r="B43" s="1231"/>
      <c r="C43" s="1243"/>
      <c r="D43" s="559" t="s">
        <v>59</v>
      </c>
      <c r="E43" s="839" t="s">
        <v>60</v>
      </c>
      <c r="F43" s="545"/>
      <c r="G43" s="558"/>
      <c r="H43" s="545"/>
      <c r="I43" s="1311"/>
    </row>
    <row r="44" spans="2:16" ht="17.5" customHeight="1">
      <c r="B44" s="1231"/>
      <c r="C44" s="1243"/>
      <c r="D44" s="559" t="s">
        <v>61</v>
      </c>
      <c r="E44" s="839" t="s">
        <v>1049</v>
      </c>
      <c r="F44" s="545"/>
      <c r="G44" s="558"/>
      <c r="H44" s="545"/>
      <c r="I44" s="1311"/>
      <c r="L44" s="1304"/>
      <c r="M44" s="1304"/>
      <c r="N44" s="1304"/>
      <c r="O44" s="1304"/>
      <c r="P44" s="1304"/>
    </row>
    <row r="45" spans="2:16" ht="17.5" customHeight="1">
      <c r="B45" s="1231"/>
      <c r="C45" s="1243"/>
      <c r="D45" s="559" t="s">
        <v>62</v>
      </c>
      <c r="E45" s="839" t="s">
        <v>920</v>
      </c>
      <c r="F45" s="545"/>
      <c r="G45" s="558"/>
      <c r="H45" s="545"/>
      <c r="I45" s="1311"/>
      <c r="L45" s="1304"/>
      <c r="M45" s="1304"/>
      <c r="N45" s="1304"/>
      <c r="O45" s="1304"/>
      <c r="P45" s="1304"/>
    </row>
    <row r="46" spans="2:16" ht="27">
      <c r="B46" s="1232"/>
      <c r="C46" s="1244"/>
      <c r="D46" s="1046" t="s">
        <v>63</v>
      </c>
      <c r="E46" s="891" t="s">
        <v>921</v>
      </c>
      <c r="F46" s="1016"/>
      <c r="G46" s="1015"/>
      <c r="H46" s="1016"/>
      <c r="I46" s="1312"/>
      <c r="L46" s="1304"/>
      <c r="M46" s="1304"/>
      <c r="N46" s="1304"/>
      <c r="O46" s="1304"/>
      <c r="P46" s="1304"/>
    </row>
    <row r="47" spans="2:16" ht="23.15" customHeight="1">
      <c r="B47" s="1041"/>
      <c r="C47" s="1042" t="s">
        <v>65</v>
      </c>
      <c r="D47" s="1043"/>
      <c r="E47" s="1043"/>
      <c r="F47" s="1043"/>
      <c r="G47" s="1043"/>
      <c r="H47" s="1043"/>
      <c r="I47" s="1044"/>
    </row>
    <row r="48" spans="2:16" ht="13.5" customHeight="1">
      <c r="B48" s="1034"/>
      <c r="C48" s="1035" t="s">
        <v>66</v>
      </c>
      <c r="D48" s="1036" t="s">
        <v>67</v>
      </c>
      <c r="E48" s="1037" t="s">
        <v>68</v>
      </c>
      <c r="F48" s="1315" t="s">
        <v>1080</v>
      </c>
      <c r="G48" s="1316"/>
      <c r="H48" s="1316"/>
      <c r="I48" s="1317"/>
      <c r="J48" s="544"/>
    </row>
    <row r="49" spans="2:15" ht="27">
      <c r="B49" s="1038"/>
      <c r="C49" s="1039"/>
      <c r="D49" s="1040" t="s">
        <v>69</v>
      </c>
      <c r="E49" s="1018" t="s">
        <v>922</v>
      </c>
      <c r="F49" s="1318"/>
      <c r="G49" s="1319"/>
      <c r="H49" s="1319"/>
      <c r="I49" s="1320"/>
      <c r="L49" s="1303"/>
      <c r="M49" s="1303"/>
      <c r="N49" s="1303"/>
      <c r="O49" s="1303"/>
    </row>
    <row r="50" spans="2:15" ht="13.5">
      <c r="B50" s="1238" t="s">
        <v>1074</v>
      </c>
      <c r="C50" s="1245" t="s">
        <v>207</v>
      </c>
      <c r="D50" s="1245"/>
      <c r="E50" s="1245"/>
      <c r="F50" s="1245"/>
      <c r="G50" s="1245"/>
      <c r="H50" s="1245"/>
      <c r="I50" s="1245"/>
    </row>
    <row r="51" spans="2:15" ht="19.75" customHeight="1">
      <c r="B51" s="1239"/>
      <c r="C51" s="702" t="s">
        <v>66</v>
      </c>
      <c r="D51" s="555" t="s">
        <v>71</v>
      </c>
      <c r="E51" s="646" t="s">
        <v>1039</v>
      </c>
      <c r="F51" s="545"/>
      <c r="G51" s="545"/>
      <c r="H51" s="545"/>
      <c r="I51" s="545"/>
    </row>
    <row r="52" spans="2:15" ht="13.5">
      <c r="B52" s="1239"/>
      <c r="C52" s="1233" t="s">
        <v>208</v>
      </c>
      <c r="D52" s="555" t="s">
        <v>209</v>
      </c>
      <c r="E52" s="646" t="s">
        <v>1038</v>
      </c>
      <c r="F52" s="545"/>
      <c r="G52" s="545"/>
      <c r="H52" s="545"/>
      <c r="I52" s="545"/>
    </row>
    <row r="53" spans="2:15" ht="13.75" customHeight="1">
      <c r="B53" s="1239"/>
      <c r="C53" s="1233"/>
      <c r="D53" s="555" t="s">
        <v>210</v>
      </c>
      <c r="E53" s="646" t="s">
        <v>936</v>
      </c>
      <c r="F53" s="545"/>
      <c r="G53" s="545"/>
      <c r="H53" s="545"/>
      <c r="I53" s="545"/>
    </row>
    <row r="54" spans="2:15" ht="13.5">
      <c r="B54" s="1239"/>
      <c r="C54" s="1233"/>
      <c r="D54" s="555" t="s">
        <v>211</v>
      </c>
      <c r="E54" s="842" t="s">
        <v>1032</v>
      </c>
      <c r="F54" s="545"/>
      <c r="G54" s="545"/>
      <c r="H54" s="545"/>
      <c r="I54" s="545"/>
    </row>
    <row r="55" spans="2:15" ht="17" customHeight="1">
      <c r="B55" s="1240"/>
      <c r="C55" s="1234"/>
      <c r="D55" s="1020" t="s">
        <v>212</v>
      </c>
      <c r="E55" s="1032" t="s">
        <v>1008</v>
      </c>
      <c r="F55" s="1016"/>
      <c r="G55" s="1016"/>
      <c r="H55" s="1016"/>
      <c r="I55" s="1016"/>
    </row>
    <row r="56" spans="2:15" ht="13.5" customHeight="1">
      <c r="B56" s="1238" t="s">
        <v>1074</v>
      </c>
      <c r="C56" s="1245" t="s">
        <v>70</v>
      </c>
      <c r="D56" s="1245"/>
      <c r="E56" s="1245"/>
      <c r="F56" s="1245"/>
      <c r="G56" s="1245"/>
      <c r="H56" s="1245"/>
      <c r="I56" s="1245"/>
      <c r="L56" s="546"/>
      <c r="M56" s="546"/>
      <c r="N56" s="546"/>
    </row>
    <row r="57" spans="2:15" ht="19.5">
      <c r="B57" s="1239"/>
      <c r="C57" s="1233" t="s">
        <v>66</v>
      </c>
      <c r="D57" s="1241" t="s">
        <v>71</v>
      </c>
      <c r="E57" s="839" t="s">
        <v>1034</v>
      </c>
      <c r="F57" s="558"/>
      <c r="G57" s="558"/>
      <c r="H57" s="558"/>
      <c r="I57" s="558"/>
      <c r="L57" s="546"/>
      <c r="M57" s="546"/>
      <c r="N57" s="546"/>
    </row>
    <row r="58" spans="2:15" ht="19.5">
      <c r="B58" s="1239"/>
      <c r="C58" s="1233"/>
      <c r="D58" s="1241"/>
      <c r="E58" s="840" t="s">
        <v>1033</v>
      </c>
      <c r="F58" s="558"/>
      <c r="G58" s="558"/>
      <c r="H58" s="558"/>
      <c r="I58" s="558"/>
      <c r="L58" s="546"/>
      <c r="M58" s="546"/>
      <c r="N58" s="546"/>
    </row>
    <row r="59" spans="2:15" ht="27">
      <c r="B59" s="1239"/>
      <c r="C59" s="1242" t="s">
        <v>72</v>
      </c>
      <c r="D59" s="545" t="s">
        <v>73</v>
      </c>
      <c r="E59" s="839" t="s">
        <v>1035</v>
      </c>
      <c r="F59" s="558"/>
      <c r="G59" s="558"/>
      <c r="H59" s="558"/>
      <c r="I59" s="558"/>
      <c r="L59" s="546"/>
      <c r="M59" s="546"/>
      <c r="N59" s="546"/>
    </row>
    <row r="60" spans="2:15" ht="27">
      <c r="B60" s="1239"/>
      <c r="C60" s="1243"/>
      <c r="D60" s="545" t="s">
        <v>74</v>
      </c>
      <c r="E60" s="839" t="s">
        <v>1035</v>
      </c>
      <c r="F60" s="558"/>
      <c r="G60" s="558"/>
      <c r="H60" s="558"/>
      <c r="I60" s="558"/>
      <c r="L60" s="546"/>
      <c r="M60" s="546"/>
      <c r="N60" s="546"/>
    </row>
    <row r="61" spans="2:15" ht="27">
      <c r="B61" s="1240"/>
      <c r="C61" s="1244"/>
      <c r="D61" s="1016" t="s">
        <v>75</v>
      </c>
      <c r="E61" s="891" t="s">
        <v>1035</v>
      </c>
      <c r="F61" s="1015"/>
      <c r="G61" s="1015"/>
      <c r="H61" s="1015"/>
      <c r="I61" s="1015"/>
      <c r="L61" s="546"/>
      <c r="M61" s="546"/>
      <c r="N61" s="546"/>
    </row>
    <row r="62" spans="2:15" ht="13.5">
      <c r="B62" s="1235" t="s">
        <v>896</v>
      </c>
      <c r="C62" s="1245" t="s">
        <v>76</v>
      </c>
      <c r="D62" s="1245"/>
      <c r="E62" s="1245"/>
      <c r="F62" s="1245"/>
      <c r="G62" s="1245"/>
      <c r="H62" s="1245"/>
      <c r="I62" s="1245"/>
    </row>
    <row r="63" spans="2:15" ht="15">
      <c r="B63" s="1236"/>
      <c r="C63" s="702" t="s">
        <v>66</v>
      </c>
      <c r="D63" s="545" t="s">
        <v>71</v>
      </c>
      <c r="E63" s="839" t="s">
        <v>1037</v>
      </c>
      <c r="F63" s="558"/>
      <c r="G63" s="558"/>
      <c r="H63" s="558"/>
      <c r="I63" s="558"/>
    </row>
    <row r="64" spans="2:15" ht="54">
      <c r="B64" s="1236"/>
      <c r="C64" s="1233" t="s">
        <v>78</v>
      </c>
      <c r="D64" s="561" t="s">
        <v>79</v>
      </c>
      <c r="E64" s="844"/>
      <c r="F64" s="1012" t="s">
        <v>1123</v>
      </c>
      <c r="G64" s="843" t="s">
        <v>924</v>
      </c>
      <c r="H64" s="646" t="s">
        <v>1124</v>
      </c>
      <c r="I64" s="558"/>
    </row>
    <row r="65" spans="2:9" ht="13.5">
      <c r="B65" s="1236"/>
      <c r="C65" s="1233"/>
      <c r="D65" s="545" t="s">
        <v>81</v>
      </c>
      <c r="E65" s="839" t="s">
        <v>80</v>
      </c>
      <c r="F65" s="647"/>
      <c r="G65" s="647"/>
      <c r="H65" s="647"/>
      <c r="I65" s="558"/>
    </row>
    <row r="66" spans="2:9" ht="40.5">
      <c r="B66" s="1237"/>
      <c r="C66" s="1234"/>
      <c r="D66" s="1016" t="s">
        <v>82</v>
      </c>
      <c r="E66" s="891" t="s">
        <v>80</v>
      </c>
      <c r="F66" s="1018" t="s">
        <v>1122</v>
      </c>
      <c r="G66" s="1018" t="s">
        <v>924</v>
      </c>
      <c r="H66" s="1018" t="s">
        <v>1118</v>
      </c>
      <c r="I66" s="1015"/>
    </row>
    <row r="67" spans="2:9" ht="13.5">
      <c r="B67" s="1248" t="s">
        <v>892</v>
      </c>
      <c r="C67" s="1245" t="s">
        <v>83</v>
      </c>
      <c r="D67" s="1245"/>
      <c r="E67" s="1245"/>
      <c r="F67" s="1245"/>
      <c r="G67" s="1245"/>
      <c r="H67" s="1245"/>
      <c r="I67" s="1245"/>
    </row>
    <row r="68" spans="2:9" ht="15">
      <c r="B68" s="1249"/>
      <c r="C68" s="702" t="s">
        <v>66</v>
      </c>
      <c r="D68" s="555" t="s">
        <v>71</v>
      </c>
      <c r="E68" s="839" t="s">
        <v>1040</v>
      </c>
      <c r="F68" s="558"/>
      <c r="G68" s="558"/>
      <c r="H68" s="558"/>
      <c r="I68" s="558"/>
    </row>
    <row r="69" spans="2:9" ht="27">
      <c r="B69" s="1249"/>
      <c r="C69" s="1233" t="s">
        <v>84</v>
      </c>
      <c r="D69" s="555" t="s">
        <v>85</v>
      </c>
      <c r="E69" s="839" t="s">
        <v>86</v>
      </c>
      <c r="F69" s="558"/>
      <c r="G69" s="558"/>
      <c r="H69" s="558"/>
      <c r="I69" s="558"/>
    </row>
    <row r="70" spans="2:9" ht="27">
      <c r="B70" s="1249"/>
      <c r="C70" s="1233"/>
      <c r="D70" s="555" t="s">
        <v>87</v>
      </c>
      <c r="E70" s="839" t="s">
        <v>86</v>
      </c>
      <c r="F70" s="558"/>
      <c r="G70" s="558"/>
      <c r="H70" s="558"/>
      <c r="I70" s="558"/>
    </row>
    <row r="71" spans="2:9" ht="27">
      <c r="B71" s="1249"/>
      <c r="C71" s="1233"/>
      <c r="D71" s="555" t="s">
        <v>88</v>
      </c>
      <c r="E71" s="839" t="s">
        <v>86</v>
      </c>
      <c r="F71" s="558"/>
      <c r="G71" s="558"/>
      <c r="H71" s="558"/>
      <c r="I71" s="558"/>
    </row>
    <row r="72" spans="2:9" ht="27">
      <c r="B72" s="1249"/>
      <c r="C72" s="1233"/>
      <c r="D72" s="555" t="s">
        <v>89</v>
      </c>
      <c r="E72" s="839" t="s">
        <v>86</v>
      </c>
      <c r="F72" s="558"/>
      <c r="G72" s="558"/>
      <c r="H72" s="558"/>
      <c r="I72" s="558"/>
    </row>
    <row r="73" spans="2:9" ht="27">
      <c r="B73" s="1250"/>
      <c r="C73" s="1234"/>
      <c r="D73" s="1014" t="s">
        <v>90</v>
      </c>
      <c r="E73" s="891" t="s">
        <v>86</v>
      </c>
      <c r="F73" s="1015"/>
      <c r="G73" s="1015"/>
      <c r="H73" s="1015"/>
      <c r="I73" s="1015"/>
    </row>
    <row r="74" spans="2:9" ht="13.5">
      <c r="B74" s="1248" t="s">
        <v>894</v>
      </c>
      <c r="C74" s="1245" t="s">
        <v>91</v>
      </c>
      <c r="D74" s="1245"/>
      <c r="E74" s="1245"/>
      <c r="F74" s="1245"/>
      <c r="G74" s="1245"/>
      <c r="H74" s="1245"/>
      <c r="I74" s="1245"/>
    </row>
    <row r="75" spans="2:9" ht="15">
      <c r="B75" s="1249"/>
      <c r="C75" s="702" t="s">
        <v>66</v>
      </c>
      <c r="D75" s="555" t="s">
        <v>71</v>
      </c>
      <c r="E75" s="839" t="s">
        <v>1036</v>
      </c>
      <c r="F75" s="558"/>
      <c r="G75" s="558"/>
      <c r="H75" s="558"/>
      <c r="I75" s="558"/>
    </row>
    <row r="76" spans="2:9" ht="27">
      <c r="B76" s="1249"/>
      <c r="C76" s="1233" t="s">
        <v>92</v>
      </c>
      <c r="D76" s="555" t="s">
        <v>93</v>
      </c>
      <c r="E76" s="839" t="s">
        <v>94</v>
      </c>
      <c r="F76" s="558"/>
      <c r="G76" s="558"/>
      <c r="H76" s="558"/>
      <c r="I76" s="558"/>
    </row>
    <row r="77" spans="2:9" ht="27">
      <c r="B77" s="1249"/>
      <c r="C77" s="1233"/>
      <c r="D77" s="555" t="s">
        <v>95</v>
      </c>
      <c r="E77" s="839" t="s">
        <v>94</v>
      </c>
      <c r="F77" s="558"/>
      <c r="G77" s="558"/>
      <c r="H77" s="558"/>
      <c r="I77" s="558"/>
    </row>
    <row r="78" spans="2:9" ht="27">
      <c r="B78" s="1249"/>
      <c r="C78" s="1233"/>
      <c r="D78" s="555" t="s">
        <v>96</v>
      </c>
      <c r="E78" s="839" t="s">
        <v>94</v>
      </c>
      <c r="F78" s="558"/>
      <c r="G78" s="558"/>
      <c r="H78" s="558"/>
      <c r="I78" s="558"/>
    </row>
    <row r="79" spans="2:9" ht="27">
      <c r="B79" s="1249"/>
      <c r="C79" s="1233"/>
      <c r="D79" s="555" t="s">
        <v>97</v>
      </c>
      <c r="E79" s="839" t="s">
        <v>94</v>
      </c>
      <c r="F79" s="558"/>
      <c r="G79" s="558"/>
      <c r="H79" s="558"/>
      <c r="I79" s="558"/>
    </row>
    <row r="80" spans="2:9" ht="27">
      <c r="B80" s="1250"/>
      <c r="C80" s="1234"/>
      <c r="D80" s="1014" t="s">
        <v>98</v>
      </c>
      <c r="E80" s="891" t="s">
        <v>94</v>
      </c>
      <c r="F80" s="1015"/>
      <c r="G80" s="1015"/>
      <c r="H80" s="1015"/>
      <c r="I80" s="1015"/>
    </row>
    <row r="81" spans="2:9" ht="13.5">
      <c r="B81" s="1251" t="s">
        <v>893</v>
      </c>
      <c r="C81" s="1245" t="s">
        <v>99</v>
      </c>
      <c r="D81" s="1245"/>
      <c r="E81" s="1245"/>
      <c r="F81" s="1245"/>
      <c r="G81" s="1245"/>
      <c r="H81" s="1245"/>
      <c r="I81" s="1245"/>
    </row>
    <row r="82" spans="2:9" ht="27">
      <c r="B82" s="1252"/>
      <c r="C82" s="702" t="s">
        <v>66</v>
      </c>
      <c r="D82" s="555" t="s">
        <v>71</v>
      </c>
      <c r="E82" s="839" t="s">
        <v>1041</v>
      </c>
      <c r="F82" s="558"/>
      <c r="G82" s="558"/>
      <c r="H82" s="558"/>
      <c r="I82" s="558"/>
    </row>
    <row r="83" spans="2:9" ht="27">
      <c r="B83" s="1252"/>
      <c r="C83" s="1233" t="s">
        <v>100</v>
      </c>
      <c r="D83" s="555" t="s">
        <v>101</v>
      </c>
      <c r="E83" s="839" t="s">
        <v>102</v>
      </c>
      <c r="F83" s="558"/>
      <c r="G83" s="558"/>
      <c r="H83" s="558"/>
      <c r="I83" s="558"/>
    </row>
    <row r="84" spans="2:9" ht="27">
      <c r="B84" s="1252"/>
      <c r="C84" s="1233"/>
      <c r="D84" s="555" t="s">
        <v>103</v>
      </c>
      <c r="E84" s="839" t="s">
        <v>102</v>
      </c>
      <c r="F84" s="558"/>
      <c r="G84" s="558"/>
      <c r="H84" s="558"/>
      <c r="I84" s="558"/>
    </row>
    <row r="85" spans="2:9" ht="27">
      <c r="B85" s="1252"/>
      <c r="C85" s="1233"/>
      <c r="D85" s="555" t="s">
        <v>104</v>
      </c>
      <c r="E85" s="839" t="s">
        <v>102</v>
      </c>
      <c r="F85" s="558"/>
      <c r="G85" s="558"/>
      <c r="H85" s="558"/>
      <c r="I85" s="558"/>
    </row>
    <row r="86" spans="2:9" ht="27">
      <c r="B86" s="1252"/>
      <c r="C86" s="1233"/>
      <c r="D86" s="555" t="s">
        <v>105</v>
      </c>
      <c r="E86" s="839" t="s">
        <v>106</v>
      </c>
      <c r="F86" s="558"/>
      <c r="G86" s="558"/>
      <c r="H86" s="558"/>
      <c r="I86" s="558"/>
    </row>
    <row r="87" spans="2:9" ht="27">
      <c r="B87" s="1252"/>
      <c r="C87" s="1233"/>
      <c r="D87" s="555" t="s">
        <v>107</v>
      </c>
      <c r="E87" s="839" t="s">
        <v>925</v>
      </c>
      <c r="F87" s="558"/>
      <c r="G87" s="558"/>
      <c r="H87" s="558"/>
      <c r="I87" s="558"/>
    </row>
    <row r="88" spans="2:9" ht="35.5" customHeight="1">
      <c r="B88" s="1252"/>
      <c r="C88" s="1233"/>
      <c r="D88" s="555" t="s">
        <v>108</v>
      </c>
      <c r="E88" s="839" t="s">
        <v>998</v>
      </c>
      <c r="F88" s="558"/>
      <c r="G88" s="558"/>
      <c r="H88" s="558"/>
      <c r="I88" s="558"/>
    </row>
    <row r="89" spans="2:9" ht="27">
      <c r="B89" s="1253"/>
      <c r="C89" s="1234"/>
      <c r="D89" s="1014" t="s">
        <v>109</v>
      </c>
      <c r="E89" s="891" t="s">
        <v>926</v>
      </c>
      <c r="F89" s="1015"/>
      <c r="G89" s="1015"/>
      <c r="H89" s="1015"/>
      <c r="I89" s="1015"/>
    </row>
    <row r="90" spans="2:9" ht="13.5">
      <c r="B90" s="1248" t="s">
        <v>895</v>
      </c>
      <c r="C90" s="1245" t="s">
        <v>110</v>
      </c>
      <c r="D90" s="1245"/>
      <c r="E90" s="1245"/>
      <c r="F90" s="1245"/>
      <c r="G90" s="1245"/>
      <c r="H90" s="1245"/>
      <c r="I90" s="1245"/>
    </row>
    <row r="91" spans="2:9" ht="15">
      <c r="B91" s="1249"/>
      <c r="C91" s="702" t="s">
        <v>66</v>
      </c>
      <c r="D91" s="555" t="s">
        <v>71</v>
      </c>
      <c r="E91" s="839" t="s">
        <v>1050</v>
      </c>
      <c r="F91" s="558"/>
      <c r="G91" s="558"/>
      <c r="H91" s="558"/>
      <c r="I91" s="558"/>
    </row>
    <row r="92" spans="2:9" ht="27">
      <c r="B92" s="1249"/>
      <c r="C92" s="1233" t="s">
        <v>111</v>
      </c>
      <c r="D92" s="555" t="s">
        <v>112</v>
      </c>
      <c r="E92" s="839" t="s">
        <v>94</v>
      </c>
      <c r="F92" s="558"/>
      <c r="G92" s="558"/>
      <c r="H92" s="558"/>
      <c r="I92" s="558"/>
    </row>
    <row r="93" spans="2:9" ht="27">
      <c r="B93" s="1249"/>
      <c r="C93" s="1233"/>
      <c r="D93" s="555" t="s">
        <v>113</v>
      </c>
      <c r="E93" s="839" t="s">
        <v>94</v>
      </c>
      <c r="F93" s="558"/>
      <c r="G93" s="558"/>
      <c r="H93" s="558"/>
      <c r="I93" s="558"/>
    </row>
    <row r="94" spans="2:9" ht="27">
      <c r="B94" s="1249"/>
      <c r="C94" s="1233"/>
      <c r="D94" s="555" t="s">
        <v>114</v>
      </c>
      <c r="E94" s="839" t="s">
        <v>1051</v>
      </c>
      <c r="F94" s="558"/>
      <c r="G94" s="558"/>
      <c r="H94" s="558"/>
      <c r="I94" s="558"/>
    </row>
    <row r="95" spans="2:9" ht="27">
      <c r="B95" s="1249"/>
      <c r="C95" s="1233"/>
      <c r="D95" s="555" t="s">
        <v>115</v>
      </c>
      <c r="E95" s="839" t="s">
        <v>1051</v>
      </c>
      <c r="F95" s="558"/>
      <c r="G95" s="558"/>
      <c r="H95" s="558"/>
      <c r="I95" s="558"/>
    </row>
    <row r="96" spans="2:9" ht="27">
      <c r="B96" s="1250"/>
      <c r="C96" s="1234"/>
      <c r="D96" s="1014" t="s">
        <v>116</v>
      </c>
      <c r="E96" s="891" t="s">
        <v>1051</v>
      </c>
      <c r="F96" s="1015"/>
      <c r="G96" s="1015"/>
      <c r="H96" s="1015"/>
      <c r="I96" s="1015"/>
    </row>
    <row r="97" spans="2:9" ht="13.5">
      <c r="B97" s="1224" t="s">
        <v>900</v>
      </c>
      <c r="C97" s="1245" t="s">
        <v>117</v>
      </c>
      <c r="D97" s="1245"/>
      <c r="E97" s="1245"/>
      <c r="F97" s="1245"/>
      <c r="G97" s="1245"/>
      <c r="H97" s="1245"/>
      <c r="I97" s="1245"/>
    </row>
    <row r="98" spans="2:9" ht="27">
      <c r="B98" s="1225"/>
      <c r="C98" s="702" t="s">
        <v>66</v>
      </c>
      <c r="D98" s="555" t="s">
        <v>71</v>
      </c>
      <c r="E98" s="839" t="s">
        <v>1052</v>
      </c>
      <c r="F98" s="558"/>
      <c r="G98" s="558"/>
      <c r="H98" s="558"/>
      <c r="I98" s="558"/>
    </row>
    <row r="99" spans="2:9" ht="32.15" customHeight="1">
      <c r="B99" s="1225"/>
      <c r="C99" s="1233" t="s">
        <v>118</v>
      </c>
      <c r="D99" s="545" t="s">
        <v>119</v>
      </c>
      <c r="E99" s="839" t="s">
        <v>1052</v>
      </c>
      <c r="F99" s="558"/>
      <c r="G99" s="558"/>
      <c r="H99" s="558"/>
      <c r="I99" s="558"/>
    </row>
    <row r="100" spans="2:9" ht="40.5">
      <c r="B100" s="1226"/>
      <c r="C100" s="1234"/>
      <c r="D100" s="1016" t="s">
        <v>120</v>
      </c>
      <c r="E100" s="891" t="s">
        <v>1052</v>
      </c>
      <c r="F100" s="1017" t="s">
        <v>1119</v>
      </c>
      <c r="G100" s="1018" t="s">
        <v>924</v>
      </c>
      <c r="H100" s="1018" t="s">
        <v>1114</v>
      </c>
      <c r="I100" s="1015"/>
    </row>
    <row r="101" spans="2:9" ht="13.5">
      <c r="B101" s="1224" t="s">
        <v>14</v>
      </c>
      <c r="C101" s="1245" t="s">
        <v>126</v>
      </c>
      <c r="D101" s="1245"/>
      <c r="E101" s="1323"/>
      <c r="F101" s="1323"/>
      <c r="G101" s="1323"/>
      <c r="H101" s="1323"/>
      <c r="I101" s="1323"/>
    </row>
    <row r="102" spans="2:9" ht="13.5">
      <c r="B102" s="1225"/>
      <c r="C102" s="1233" t="s">
        <v>66</v>
      </c>
      <c r="D102" s="1305" t="s">
        <v>71</v>
      </c>
      <c r="E102" s="845" t="s">
        <v>1060</v>
      </c>
      <c r="F102" s="1275"/>
      <c r="G102" s="1275"/>
      <c r="H102" s="1275"/>
      <c r="I102" s="1275"/>
    </row>
    <row r="103" spans="2:9" ht="26">
      <c r="B103" s="1225"/>
      <c r="C103" s="1233"/>
      <c r="D103" s="1305"/>
      <c r="E103" s="846" t="s">
        <v>928</v>
      </c>
      <c r="F103" s="1276"/>
      <c r="G103" s="1276"/>
      <c r="H103" s="1276"/>
      <c r="I103" s="1276"/>
    </row>
    <row r="104" spans="2:9" ht="13.5">
      <c r="B104" s="1225"/>
      <c r="C104" s="1233" t="s">
        <v>127</v>
      </c>
      <c r="D104" s="567" t="s">
        <v>128</v>
      </c>
      <c r="E104" s="847" t="s">
        <v>1060</v>
      </c>
      <c r="F104" s="558"/>
      <c r="G104" s="558"/>
      <c r="H104" s="558"/>
      <c r="I104" s="558"/>
    </row>
    <row r="105" spans="2:9" ht="13.5">
      <c r="B105" s="1225"/>
      <c r="C105" s="1233"/>
      <c r="D105" s="555" t="s">
        <v>129</v>
      </c>
      <c r="E105" s="847" t="s">
        <v>1060</v>
      </c>
      <c r="F105" s="558"/>
      <c r="G105" s="558"/>
      <c r="H105" s="558"/>
      <c r="I105" s="558"/>
    </row>
    <row r="106" spans="2:9" ht="13.5">
      <c r="B106" s="1225"/>
      <c r="C106" s="1233"/>
      <c r="D106" s="555" t="s">
        <v>130</v>
      </c>
      <c r="E106" s="847" t="s">
        <v>1060</v>
      </c>
      <c r="F106" s="558"/>
      <c r="G106" s="558"/>
      <c r="H106" s="558"/>
      <c r="I106" s="558"/>
    </row>
    <row r="107" spans="2:9" ht="27">
      <c r="B107" s="1225"/>
      <c r="C107" s="1233"/>
      <c r="D107" s="555" t="s">
        <v>131</v>
      </c>
      <c r="E107" s="847" t="s">
        <v>1060</v>
      </c>
      <c r="F107" s="558"/>
      <c r="G107" s="558"/>
      <c r="H107" s="558"/>
      <c r="I107" s="558"/>
    </row>
    <row r="108" spans="2:9" ht="13.5">
      <c r="B108" s="1225"/>
      <c r="C108" s="1233"/>
      <c r="D108" s="555" t="s">
        <v>132</v>
      </c>
      <c r="E108" s="847" t="s">
        <v>1060</v>
      </c>
      <c r="F108" s="558"/>
      <c r="G108" s="558"/>
      <c r="H108" s="558"/>
      <c r="I108" s="558"/>
    </row>
    <row r="109" spans="2:9" ht="13.5">
      <c r="B109" s="1225"/>
      <c r="C109" s="1233"/>
      <c r="D109" s="555" t="s">
        <v>133</v>
      </c>
      <c r="E109" s="847" t="s">
        <v>1060</v>
      </c>
      <c r="F109" s="558"/>
      <c r="G109" s="558"/>
      <c r="H109" s="558"/>
      <c r="I109" s="558"/>
    </row>
    <row r="110" spans="2:9" ht="27">
      <c r="B110" s="1225"/>
      <c r="C110" s="1233"/>
      <c r="D110" s="555" t="s">
        <v>134</v>
      </c>
      <c r="E110" s="847" t="s">
        <v>1060</v>
      </c>
      <c r="F110" s="558"/>
      <c r="G110" s="558"/>
      <c r="H110" s="558"/>
      <c r="I110" s="558"/>
    </row>
    <row r="111" spans="2:9" ht="26.4" customHeight="1">
      <c r="B111" s="1225"/>
      <c r="C111" s="1233"/>
      <c r="D111" s="555" t="s">
        <v>135</v>
      </c>
      <c r="E111" s="847" t="s">
        <v>1061</v>
      </c>
      <c r="F111" s="558"/>
      <c r="G111" s="558"/>
      <c r="H111" s="558"/>
      <c r="I111" s="558"/>
    </row>
    <row r="112" spans="2:9" ht="13.5">
      <c r="B112" s="1225"/>
      <c r="C112" s="1233"/>
      <c r="D112" s="555" t="s">
        <v>136</v>
      </c>
      <c r="E112" s="848" t="s">
        <v>137</v>
      </c>
      <c r="F112" s="558"/>
      <c r="G112" s="558"/>
      <c r="H112" s="558"/>
      <c r="I112" s="558"/>
    </row>
    <row r="113" spans="2:10" ht="12.5" customHeight="1">
      <c r="B113" s="1226"/>
      <c r="C113" s="1234"/>
      <c r="D113" s="1014" t="s">
        <v>138</v>
      </c>
      <c r="E113" s="1019" t="s">
        <v>137</v>
      </c>
      <c r="F113" s="1015"/>
      <c r="G113" s="1015"/>
      <c r="H113" s="1015"/>
      <c r="I113" s="1015"/>
    </row>
    <row r="114" spans="2:10" ht="13.5">
      <c r="B114" s="1224" t="s">
        <v>898</v>
      </c>
      <c r="C114" s="1245" t="s">
        <v>145</v>
      </c>
      <c r="D114" s="1245"/>
      <c r="E114" s="1245"/>
      <c r="F114" s="1245"/>
      <c r="G114" s="1245"/>
      <c r="H114" s="1245"/>
      <c r="I114" s="1245"/>
    </row>
    <row r="115" spans="2:10" ht="15">
      <c r="B115" s="1225"/>
      <c r="C115" s="702" t="s">
        <v>66</v>
      </c>
      <c r="D115" s="555" t="s">
        <v>71</v>
      </c>
      <c r="E115" s="839" t="s">
        <v>1053</v>
      </c>
      <c r="F115" s="558"/>
      <c r="G115" s="558"/>
      <c r="H115" s="558"/>
      <c r="I115" s="558"/>
    </row>
    <row r="116" spans="2:10" ht="27">
      <c r="B116" s="1225"/>
      <c r="C116" s="1233" t="s">
        <v>146</v>
      </c>
      <c r="D116" s="555" t="s">
        <v>147</v>
      </c>
      <c r="E116" s="839" t="s">
        <v>148</v>
      </c>
      <c r="F116" s="558"/>
      <c r="G116" s="558"/>
      <c r="H116" s="558"/>
      <c r="I116" s="558"/>
    </row>
    <row r="117" spans="2:10" ht="13.5">
      <c r="B117" s="1225"/>
      <c r="C117" s="1233"/>
      <c r="D117" s="1241" t="s">
        <v>149</v>
      </c>
      <c r="E117" s="839" t="s">
        <v>997</v>
      </c>
      <c r="F117" s="1324" t="s">
        <v>1121</v>
      </c>
      <c r="G117" s="1258" t="s">
        <v>924</v>
      </c>
      <c r="H117" s="1258" t="s">
        <v>1001</v>
      </c>
      <c r="I117" s="1260"/>
    </row>
    <row r="118" spans="2:10" ht="28.75" customHeight="1">
      <c r="B118" s="1226"/>
      <c r="C118" s="1234"/>
      <c r="D118" s="1296"/>
      <c r="E118" s="1021" t="s">
        <v>929</v>
      </c>
      <c r="F118" s="1325"/>
      <c r="G118" s="1259"/>
      <c r="H118" s="1259"/>
      <c r="I118" s="1261"/>
    </row>
    <row r="119" spans="2:10" ht="13.5">
      <c r="B119" s="1227" t="s">
        <v>897</v>
      </c>
      <c r="C119" s="1022" t="s">
        <v>150</v>
      </c>
      <c r="D119" s="1022"/>
      <c r="E119" s="1022"/>
      <c r="F119" s="1023"/>
      <c r="G119" s="1023"/>
      <c r="H119" s="1023"/>
      <c r="I119" s="1022"/>
    </row>
    <row r="120" spans="2:10" ht="15">
      <c r="B120" s="1228"/>
      <c r="C120" s="702" t="s">
        <v>66</v>
      </c>
      <c r="D120" s="555" t="s">
        <v>71</v>
      </c>
      <c r="E120" s="839" t="s">
        <v>1053</v>
      </c>
      <c r="F120" s="647"/>
      <c r="G120" s="647"/>
      <c r="H120" s="647"/>
      <c r="I120" s="558"/>
    </row>
    <row r="121" spans="2:10" ht="27">
      <c r="B121" s="1229"/>
      <c r="C121" s="1013" t="s">
        <v>151</v>
      </c>
      <c r="D121" s="1014" t="s">
        <v>152</v>
      </c>
      <c r="E121" s="891" t="s">
        <v>153</v>
      </c>
      <c r="F121" s="1024"/>
      <c r="G121" s="1024"/>
      <c r="H121" s="1024"/>
      <c r="I121" s="1015"/>
    </row>
    <row r="122" spans="2:10" ht="13.5" customHeight="1">
      <c r="B122" s="1227" t="s">
        <v>897</v>
      </c>
      <c r="C122" s="1326" t="s">
        <v>154</v>
      </c>
      <c r="D122" s="1327"/>
      <c r="E122" s="1022"/>
      <c r="F122" s="1023"/>
      <c r="G122" s="1023"/>
      <c r="H122" s="1023"/>
      <c r="I122" s="1022"/>
    </row>
    <row r="123" spans="2:10" ht="15">
      <c r="B123" s="1228"/>
      <c r="C123" s="702" t="s">
        <v>66</v>
      </c>
      <c r="D123" s="555" t="s">
        <v>71</v>
      </c>
      <c r="E123" s="839" t="s">
        <v>1054</v>
      </c>
      <c r="F123" s="647"/>
      <c r="G123" s="647"/>
      <c r="H123" s="647"/>
      <c r="I123" s="558"/>
    </row>
    <row r="124" spans="2:10" ht="54">
      <c r="B124" s="1229"/>
      <c r="C124" s="1013" t="s">
        <v>155</v>
      </c>
      <c r="D124" s="1016" t="s">
        <v>156</v>
      </c>
      <c r="E124" s="1018" t="s">
        <v>1115</v>
      </c>
      <c r="F124" s="1018" t="s">
        <v>1122</v>
      </c>
      <c r="G124" s="1018" t="s">
        <v>924</v>
      </c>
      <c r="H124" s="1018" t="s">
        <v>1116</v>
      </c>
      <c r="I124" s="1015"/>
      <c r="J124" s="678"/>
    </row>
    <row r="125" spans="2:10" ht="13.5">
      <c r="B125" s="1227" t="s">
        <v>897</v>
      </c>
      <c r="C125" s="1022" t="s">
        <v>157</v>
      </c>
      <c r="D125" s="1022"/>
      <c r="E125" s="1022"/>
      <c r="F125" s="1023"/>
      <c r="G125" s="1023"/>
      <c r="H125" s="1023"/>
      <c r="I125" s="1022"/>
    </row>
    <row r="126" spans="2:10" ht="15">
      <c r="B126" s="1228"/>
      <c r="C126" s="702" t="s">
        <v>66</v>
      </c>
      <c r="D126" s="555" t="s">
        <v>71</v>
      </c>
      <c r="E126" s="839" t="s">
        <v>1055</v>
      </c>
      <c r="F126" s="558"/>
      <c r="G126" s="558"/>
      <c r="H126" s="558"/>
      <c r="I126" s="558"/>
    </row>
    <row r="127" spans="2:10" ht="27">
      <c r="B127" s="1229"/>
      <c r="C127" s="1013" t="s">
        <v>158</v>
      </c>
      <c r="D127" s="1014" t="s">
        <v>159</v>
      </c>
      <c r="E127" s="891" t="s">
        <v>1057</v>
      </c>
      <c r="F127" s="1015"/>
      <c r="G127" s="1015"/>
      <c r="H127" s="1015"/>
      <c r="I127" s="1015"/>
    </row>
    <row r="128" spans="2:10" ht="13.5">
      <c r="B128" s="1227" t="s">
        <v>897</v>
      </c>
      <c r="C128" s="1245" t="s">
        <v>1007</v>
      </c>
      <c r="D128" s="1245"/>
      <c r="E128" s="1245"/>
      <c r="F128" s="1245"/>
      <c r="G128" s="1245"/>
      <c r="H128" s="1245"/>
      <c r="I128" s="1245"/>
    </row>
    <row r="129" spans="2:10" ht="15">
      <c r="B129" s="1228"/>
      <c r="C129" s="702" t="s">
        <v>66</v>
      </c>
      <c r="D129" s="555" t="s">
        <v>71</v>
      </c>
      <c r="E129" s="839" t="s">
        <v>1056</v>
      </c>
      <c r="F129" s="558"/>
      <c r="G129" s="558"/>
      <c r="H129" s="558"/>
      <c r="I129" s="558"/>
    </row>
    <row r="130" spans="2:10" ht="30">
      <c r="B130" s="1229"/>
      <c r="C130" s="1013" t="s">
        <v>160</v>
      </c>
      <c r="D130" s="1014" t="s">
        <v>161</v>
      </c>
      <c r="E130" s="891" t="s">
        <v>1057</v>
      </c>
      <c r="F130" s="1015"/>
      <c r="G130" s="1015"/>
      <c r="H130" s="1015"/>
      <c r="I130" s="1015"/>
    </row>
    <row r="131" spans="2:10" s="547" customFormat="1" ht="14.25" customHeight="1">
      <c r="B131" s="1224" t="s">
        <v>899</v>
      </c>
      <c r="C131" s="1245" t="s">
        <v>165</v>
      </c>
      <c r="D131" s="1245"/>
      <c r="E131" s="1245"/>
      <c r="F131" s="1245"/>
      <c r="G131" s="1245"/>
      <c r="H131" s="1245"/>
      <c r="I131" s="1245"/>
      <c r="J131" s="64"/>
    </row>
    <row r="132" spans="2:10" s="547" customFormat="1" ht="15">
      <c r="B132" s="1225"/>
      <c r="C132" s="702" t="s">
        <v>66</v>
      </c>
      <c r="D132" s="555" t="s">
        <v>71</v>
      </c>
      <c r="E132" s="648" t="s">
        <v>1058</v>
      </c>
      <c r="F132" s="558"/>
      <c r="G132" s="558"/>
      <c r="H132" s="558"/>
      <c r="I132" s="558"/>
      <c r="J132" s="64"/>
    </row>
    <row r="133" spans="2:10" s="547" customFormat="1" ht="27">
      <c r="B133" s="1225"/>
      <c r="C133" s="1233" t="s">
        <v>167</v>
      </c>
      <c r="D133" s="555" t="s">
        <v>168</v>
      </c>
      <c r="E133" s="648" t="s">
        <v>930</v>
      </c>
      <c r="F133" s="558"/>
      <c r="G133" s="558"/>
      <c r="H133" s="558"/>
      <c r="I133" s="558"/>
      <c r="J133" s="64"/>
    </row>
    <row r="134" spans="2:10" ht="27">
      <c r="B134" s="1226"/>
      <c r="C134" s="1234"/>
      <c r="D134" s="1014" t="s">
        <v>169</v>
      </c>
      <c r="E134" s="1025" t="s">
        <v>930</v>
      </c>
      <c r="F134" s="1015"/>
      <c r="G134" s="1015"/>
      <c r="H134" s="1015"/>
      <c r="I134" s="1015"/>
    </row>
    <row r="135" spans="2:10" ht="13.5">
      <c r="B135" s="1224" t="s">
        <v>900</v>
      </c>
      <c r="C135" s="1245" t="s">
        <v>171</v>
      </c>
      <c r="D135" s="1245"/>
      <c r="E135" s="1245"/>
      <c r="F135" s="1245"/>
      <c r="G135" s="1245"/>
      <c r="H135" s="1245"/>
      <c r="I135" s="1245"/>
    </row>
    <row r="136" spans="2:10" ht="27">
      <c r="B136" s="1225"/>
      <c r="C136" s="702" t="s">
        <v>66</v>
      </c>
      <c r="D136" s="561" t="s">
        <v>71</v>
      </c>
      <c r="E136" s="839" t="s">
        <v>1052</v>
      </c>
      <c r="F136" s="558"/>
      <c r="G136" s="558"/>
      <c r="H136" s="558"/>
      <c r="I136" s="558"/>
    </row>
    <row r="137" spans="2:10" ht="34" customHeight="1">
      <c r="B137" s="1225"/>
      <c r="C137" s="1233" t="s">
        <v>172</v>
      </c>
      <c r="D137" s="562" t="s">
        <v>173</v>
      </c>
      <c r="E137" s="839" t="s">
        <v>1052</v>
      </c>
      <c r="F137" s="558"/>
      <c r="G137" s="558"/>
      <c r="H137" s="558"/>
      <c r="I137" s="558"/>
    </row>
    <row r="138" spans="2:10" ht="40.5">
      <c r="B138" s="1226"/>
      <c r="C138" s="1234"/>
      <c r="D138" s="1026" t="s">
        <v>174</v>
      </c>
      <c r="E138" s="891" t="s">
        <v>1052</v>
      </c>
      <c r="F138" s="1018" t="s">
        <v>1120</v>
      </c>
      <c r="G138" s="1018" t="s">
        <v>924</v>
      </c>
      <c r="H138" s="1018" t="s">
        <v>1114</v>
      </c>
      <c r="I138" s="1015"/>
    </row>
    <row r="139" spans="2:10" ht="11.5" customHeight="1">
      <c r="B139" s="690"/>
      <c r="D139" s="461"/>
      <c r="E139" s="461"/>
      <c r="F139" s="461"/>
      <c r="G139" s="461"/>
      <c r="H139" s="461"/>
      <c r="I139" s="461"/>
    </row>
    <row r="140" spans="2:10" s="547" customFormat="1" ht="11.5" customHeight="1">
      <c r="B140" s="684"/>
      <c r="C140" s="1292" t="s">
        <v>1117</v>
      </c>
      <c r="D140" s="1292"/>
      <c r="E140" s="1292"/>
      <c r="F140" s="1292"/>
      <c r="G140" s="1292"/>
      <c r="H140" s="1292"/>
      <c r="I140" s="1293"/>
      <c r="J140" s="64"/>
    </row>
    <row r="141" spans="2:10" s="547" customFormat="1" ht="13" customHeight="1">
      <c r="B141" s="685"/>
      <c r="C141" s="1294"/>
      <c r="D141" s="1294"/>
      <c r="E141" s="1294"/>
      <c r="F141" s="1294"/>
      <c r="G141" s="1294"/>
      <c r="H141" s="1294"/>
      <c r="I141" s="1295"/>
      <c r="J141" s="64"/>
    </row>
    <row r="142" spans="2:10" hidden="1">
      <c r="B142" s="691"/>
      <c r="C142" s="1262" t="s">
        <v>190</v>
      </c>
      <c r="D142" s="1263"/>
      <c r="E142" s="1263"/>
      <c r="F142" s="1263"/>
      <c r="G142" s="1263"/>
      <c r="H142" s="1263"/>
      <c r="I142" s="1263"/>
    </row>
    <row r="143" spans="2:10" hidden="1">
      <c r="B143" s="691"/>
      <c r="C143" s="1328" t="s">
        <v>191</v>
      </c>
      <c r="D143" s="1329"/>
      <c r="E143" s="1329"/>
      <c r="F143" s="1329"/>
      <c r="G143" s="1257" t="s">
        <v>192</v>
      </c>
      <c r="H143" s="1257"/>
      <c r="I143" s="1257"/>
    </row>
    <row r="144" spans="2:10" hidden="1">
      <c r="B144" s="691"/>
      <c r="C144" s="1328" t="s">
        <v>191</v>
      </c>
      <c r="D144" s="1329"/>
      <c r="E144" s="1329"/>
      <c r="F144" s="1329"/>
      <c r="G144" s="1257" t="s">
        <v>192</v>
      </c>
      <c r="H144" s="1257"/>
      <c r="I144" s="1257"/>
    </row>
    <row r="145" spans="2:10" s="548" customFormat="1" hidden="1">
      <c r="B145" s="692"/>
      <c r="C145" s="1264" t="s">
        <v>193</v>
      </c>
      <c r="D145" s="1265"/>
      <c r="E145" s="1265"/>
      <c r="F145" s="1265"/>
      <c r="G145" s="1265"/>
      <c r="H145" s="1265"/>
      <c r="I145" s="1265"/>
    </row>
    <row r="146" spans="2:10" s="548" customFormat="1" hidden="1">
      <c r="B146" s="692"/>
      <c r="C146" s="686" t="s">
        <v>66</v>
      </c>
      <c r="D146" s="554" t="s">
        <v>71</v>
      </c>
      <c r="E146" s="557"/>
      <c r="F146" s="557"/>
      <c r="G146" s="557"/>
      <c r="H146" s="557"/>
      <c r="I146" s="557"/>
    </row>
    <row r="147" spans="2:10" s="548" customFormat="1" ht="31.5" hidden="1" customHeight="1">
      <c r="B147" s="692"/>
      <c r="C147" s="687" t="s">
        <v>194</v>
      </c>
      <c r="D147" s="554" t="s">
        <v>195</v>
      </c>
      <c r="E147" s="557"/>
      <c r="F147" s="557"/>
      <c r="G147" s="557"/>
      <c r="H147" s="557"/>
      <c r="I147" s="557"/>
    </row>
    <row r="148" spans="2:10" s="548" customFormat="1" hidden="1">
      <c r="B148" s="692"/>
      <c r="C148" s="1264" t="s">
        <v>196</v>
      </c>
      <c r="D148" s="1265"/>
      <c r="E148" s="1265"/>
      <c r="F148" s="1265"/>
      <c r="G148" s="1265"/>
      <c r="H148" s="1265"/>
      <c r="I148" s="1265"/>
      <c r="J148" s="549"/>
    </row>
    <row r="149" spans="2:10" s="548" customFormat="1" hidden="1">
      <c r="B149" s="692"/>
      <c r="C149" s="686" t="s">
        <v>66</v>
      </c>
      <c r="D149" s="554" t="s">
        <v>71</v>
      </c>
      <c r="E149" s="556" t="s">
        <v>77</v>
      </c>
      <c r="F149" s="557"/>
      <c r="G149" s="557"/>
      <c r="H149" s="557"/>
      <c r="I149" s="557"/>
    </row>
    <row r="150" spans="2:10" s="548" customFormat="1" ht="35" hidden="1">
      <c r="B150" s="692"/>
      <c r="C150" s="1028" t="s">
        <v>197</v>
      </c>
      <c r="D150" s="1029" t="s">
        <v>198</v>
      </c>
      <c r="E150" s="1030" t="s">
        <v>199</v>
      </c>
      <c r="F150" s="1030"/>
      <c r="G150" s="1030"/>
      <c r="H150" s="1030"/>
      <c r="I150" s="1030"/>
    </row>
    <row r="151" spans="2:10">
      <c r="B151" s="682"/>
      <c r="C151" s="1245" t="s">
        <v>200</v>
      </c>
      <c r="D151" s="1245"/>
      <c r="E151" s="1245"/>
      <c r="F151" s="1245"/>
      <c r="G151" s="1245"/>
      <c r="H151" s="1245"/>
      <c r="I151" s="1245"/>
    </row>
    <row r="152" spans="2:10" hidden="1">
      <c r="B152" s="682"/>
      <c r="C152" s="1270" t="s">
        <v>66</v>
      </c>
      <c r="D152" s="1241" t="s">
        <v>71</v>
      </c>
      <c r="E152" s="563"/>
      <c r="F152" s="558"/>
      <c r="G152" s="558"/>
      <c r="H152" s="558"/>
      <c r="I152" s="558"/>
    </row>
    <row r="153" spans="2:10" hidden="1">
      <c r="B153" s="682"/>
      <c r="C153" s="1270"/>
      <c r="D153" s="1241"/>
      <c r="E153" s="560" t="str">
        <f>$E$156</f>
        <v xml:space="preserve">The Tees  </v>
      </c>
      <c r="F153" s="558"/>
      <c r="G153" s="558"/>
      <c r="H153" s="558"/>
      <c r="I153" s="558"/>
    </row>
    <row r="154" spans="2:10" ht="27" hidden="1" customHeight="1">
      <c r="B154" s="682"/>
      <c r="C154" s="1233" t="s">
        <v>201</v>
      </c>
      <c r="D154" s="555" t="s">
        <v>202</v>
      </c>
      <c r="E154" s="558"/>
      <c r="F154" s="558" t="s">
        <v>203</v>
      </c>
      <c r="G154" s="558"/>
      <c r="H154" s="558"/>
      <c r="I154" s="558"/>
    </row>
    <row r="155" spans="2:10" ht="13.5" hidden="1" customHeight="1">
      <c r="B155" s="682"/>
      <c r="C155" s="1233"/>
      <c r="D155" s="555" t="s">
        <v>204</v>
      </c>
      <c r="E155" s="558"/>
      <c r="F155" s="558" t="s">
        <v>203</v>
      </c>
      <c r="G155" s="558"/>
      <c r="H155" s="558"/>
      <c r="I155" s="558"/>
    </row>
    <row r="156" spans="2:10">
      <c r="B156" s="682"/>
      <c r="C156" s="1233"/>
      <c r="D156" s="555" t="s">
        <v>205</v>
      </c>
      <c r="E156" s="1273" t="s">
        <v>935</v>
      </c>
      <c r="F156" s="1273"/>
      <c r="G156" s="1273"/>
      <c r="H156" s="1273"/>
      <c r="I156" s="1273"/>
    </row>
    <row r="157" spans="2:10" ht="27" hidden="1" customHeight="1">
      <c r="B157" s="682"/>
      <c r="C157" s="1234"/>
      <c r="D157" s="1014" t="s">
        <v>206</v>
      </c>
      <c r="E157" s="1015"/>
      <c r="F157" s="1015" t="s">
        <v>203</v>
      </c>
      <c r="G157" s="1015"/>
      <c r="H157" s="1015"/>
      <c r="I157" s="1015"/>
    </row>
    <row r="158" spans="2:10" s="548" customFormat="1" hidden="1">
      <c r="B158" s="682"/>
      <c r="C158" s="1297" t="s">
        <v>213</v>
      </c>
      <c r="D158" s="1298"/>
      <c r="E158" s="1298"/>
      <c r="F158" s="1298"/>
      <c r="G158" s="1298"/>
      <c r="H158" s="1298"/>
      <c r="I158" s="1298"/>
    </row>
    <row r="159" spans="2:10" s="548" customFormat="1" hidden="1">
      <c r="B159" s="682"/>
      <c r="C159" s="686" t="s">
        <v>66</v>
      </c>
      <c r="D159" s="554" t="s">
        <v>71</v>
      </c>
      <c r="E159" s="556" t="s">
        <v>214</v>
      </c>
      <c r="F159" s="557"/>
      <c r="G159" s="557"/>
      <c r="H159" s="557"/>
      <c r="I159" s="557"/>
    </row>
    <row r="160" spans="2:10" s="548" customFormat="1" hidden="1">
      <c r="B160" s="682"/>
      <c r="C160" s="1274" t="s">
        <v>215</v>
      </c>
      <c r="D160" s="554" t="s">
        <v>216</v>
      </c>
      <c r="E160" s="557"/>
      <c r="F160" s="557" t="s">
        <v>199</v>
      </c>
      <c r="G160" s="557"/>
      <c r="H160" s="557"/>
      <c r="I160" s="557"/>
    </row>
    <row r="161" spans="2:9" s="548" customFormat="1" hidden="1">
      <c r="B161" s="682"/>
      <c r="C161" s="1274"/>
      <c r="D161" s="554" t="s">
        <v>217</v>
      </c>
      <c r="E161" s="557"/>
      <c r="F161" s="557" t="s">
        <v>199</v>
      </c>
      <c r="G161" s="557"/>
      <c r="H161" s="557"/>
      <c r="I161" s="557"/>
    </row>
    <row r="162" spans="2:9" hidden="1">
      <c r="B162" s="682"/>
      <c r="C162" s="1271" t="s">
        <v>218</v>
      </c>
      <c r="D162" s="1272"/>
      <c r="E162" s="1272"/>
      <c r="F162" s="1272"/>
      <c r="G162" s="1272"/>
      <c r="H162" s="1272"/>
      <c r="I162" s="1272"/>
    </row>
    <row r="163" spans="2:9" hidden="1">
      <c r="B163" s="682"/>
      <c r="C163" s="688" t="s">
        <v>66</v>
      </c>
      <c r="D163" s="555" t="s">
        <v>71</v>
      </c>
      <c r="E163" s="545" t="s">
        <v>77</v>
      </c>
      <c r="F163" s="558"/>
      <c r="G163" s="558"/>
      <c r="H163" s="558"/>
      <c r="I163" s="558"/>
    </row>
    <row r="164" spans="2:9" hidden="1">
      <c r="B164" s="682"/>
      <c r="C164" s="1269" t="s">
        <v>219</v>
      </c>
      <c r="D164" s="555" t="s">
        <v>220</v>
      </c>
      <c r="E164" s="545" t="s">
        <v>170</v>
      </c>
      <c r="F164" s="558"/>
      <c r="G164" s="558"/>
      <c r="H164" s="558"/>
      <c r="I164" s="558"/>
    </row>
    <row r="165" spans="2:9" hidden="1">
      <c r="B165" s="682"/>
      <c r="C165" s="1269"/>
      <c r="D165" s="555" t="s">
        <v>221</v>
      </c>
      <c r="E165" s="564" t="s">
        <v>941</v>
      </c>
      <c r="F165" s="558"/>
      <c r="G165" s="558"/>
      <c r="H165" s="558"/>
      <c r="I165" s="558"/>
    </row>
    <row r="166" spans="2:9" s="548" customFormat="1" hidden="1">
      <c r="B166" s="682"/>
      <c r="C166" s="1264" t="s">
        <v>222</v>
      </c>
      <c r="D166" s="1265"/>
      <c r="E166" s="1265"/>
      <c r="F166" s="1265"/>
      <c r="G166" s="1265"/>
      <c r="H166" s="1265"/>
      <c r="I166" s="1265"/>
    </row>
    <row r="167" spans="2:9" s="548" customFormat="1" hidden="1">
      <c r="B167" s="682"/>
      <c r="C167" s="686" t="s">
        <v>66</v>
      </c>
      <c r="D167" s="554" t="s">
        <v>71</v>
      </c>
      <c r="E167" s="556" t="s">
        <v>77</v>
      </c>
      <c r="F167" s="557"/>
      <c r="G167" s="557"/>
      <c r="H167" s="557"/>
      <c r="I167" s="557"/>
    </row>
    <row r="168" spans="2:9" s="548" customFormat="1" ht="35" hidden="1">
      <c r="B168" s="682"/>
      <c r="C168" s="1028" t="s">
        <v>223</v>
      </c>
      <c r="D168" s="1029" t="s">
        <v>224</v>
      </c>
      <c r="E168" s="1030"/>
      <c r="F168" s="1030" t="s">
        <v>199</v>
      </c>
      <c r="G168" s="1030"/>
      <c r="H168" s="1030"/>
      <c r="I168" s="1030"/>
    </row>
    <row r="169" spans="2:9">
      <c r="B169" s="682"/>
      <c r="C169" s="1245" t="s">
        <v>225</v>
      </c>
      <c r="D169" s="1245"/>
      <c r="E169" s="1245"/>
      <c r="F169" s="1245"/>
      <c r="G169" s="1245"/>
      <c r="H169" s="1245"/>
      <c r="I169" s="1245"/>
    </row>
    <row r="170" spans="2:9">
      <c r="B170" s="682"/>
      <c r="C170" s="702" t="s">
        <v>66</v>
      </c>
      <c r="D170" s="555" t="s">
        <v>1016</v>
      </c>
      <c r="E170" s="1283" t="s">
        <v>1044</v>
      </c>
      <c r="F170" s="1284"/>
      <c r="G170" s="1284"/>
      <c r="H170" s="1284"/>
      <c r="I170" s="1285"/>
    </row>
    <row r="171" spans="2:9">
      <c r="B171" s="682"/>
      <c r="C171" s="1233" t="s">
        <v>226</v>
      </c>
      <c r="D171" s="555" t="s">
        <v>227</v>
      </c>
      <c r="E171" s="1330" t="s">
        <v>938</v>
      </c>
      <c r="F171" s="1331"/>
      <c r="G171" s="1331"/>
      <c r="H171" s="1331"/>
      <c r="I171" s="1332"/>
    </row>
    <row r="172" spans="2:9">
      <c r="B172" s="682"/>
      <c r="C172" s="1233"/>
      <c r="D172" s="555" t="s">
        <v>228</v>
      </c>
      <c r="E172" s="1266" t="s">
        <v>939</v>
      </c>
      <c r="F172" s="1267"/>
      <c r="G172" s="1267"/>
      <c r="H172" s="1267"/>
      <c r="I172" s="1268"/>
    </row>
    <row r="173" spans="2:9" hidden="1">
      <c r="B173" s="682"/>
      <c r="C173" s="1233"/>
      <c r="D173" s="555" t="s">
        <v>229</v>
      </c>
      <c r="E173" s="565"/>
      <c r="F173" s="558"/>
      <c r="G173" s="558"/>
      <c r="H173" s="558"/>
      <c r="I173" s="558"/>
    </row>
    <row r="174" spans="2:9" hidden="1">
      <c r="B174" s="682"/>
      <c r="C174" s="1234"/>
      <c r="D174" s="1014" t="s">
        <v>230</v>
      </c>
      <c r="E174" s="1031"/>
      <c r="F174" s="1015"/>
      <c r="G174" s="1015"/>
      <c r="H174" s="1015"/>
      <c r="I174" s="1015"/>
    </row>
    <row r="175" spans="2:9">
      <c r="B175" s="682"/>
      <c r="C175" s="1245" t="s">
        <v>231</v>
      </c>
      <c r="D175" s="1245"/>
      <c r="E175" s="1245"/>
      <c r="F175" s="1245"/>
      <c r="G175" s="1245"/>
      <c r="H175" s="1245"/>
      <c r="I175" s="1245"/>
    </row>
    <row r="176" spans="2:9" hidden="1">
      <c r="B176" s="682"/>
      <c r="C176" s="1027" t="s">
        <v>66</v>
      </c>
      <c r="D176" s="555" t="s">
        <v>71</v>
      </c>
      <c r="E176" s="566" t="s">
        <v>77</v>
      </c>
      <c r="F176" s="558"/>
      <c r="G176" s="558"/>
      <c r="H176" s="558"/>
      <c r="I176" s="558"/>
    </row>
    <row r="177" spans="2:9" ht="30">
      <c r="B177" s="682"/>
      <c r="C177" s="1013" t="s">
        <v>232</v>
      </c>
      <c r="D177" s="1014" t="s">
        <v>233</v>
      </c>
      <c r="E177" s="1299" t="s">
        <v>937</v>
      </c>
      <c r="F177" s="1300"/>
      <c r="G177" s="1300"/>
      <c r="H177" s="1300"/>
      <c r="I177" s="1301"/>
    </row>
    <row r="178" spans="2:9">
      <c r="B178" s="682"/>
      <c r="C178" s="1245" t="s">
        <v>121</v>
      </c>
      <c r="D178" s="1245"/>
      <c r="E178" s="1245"/>
      <c r="F178" s="1245"/>
      <c r="G178" s="1245"/>
      <c r="H178" s="1245"/>
      <c r="I178" s="1245"/>
    </row>
    <row r="179" spans="2:9">
      <c r="B179" s="682"/>
      <c r="C179" s="702" t="s">
        <v>66</v>
      </c>
      <c r="D179" s="555" t="s">
        <v>71</v>
      </c>
      <c r="E179" s="1283" t="s">
        <v>1059</v>
      </c>
      <c r="F179" s="1284"/>
      <c r="G179" s="1284"/>
      <c r="H179" s="1284"/>
      <c r="I179" s="1285"/>
    </row>
    <row r="180" spans="2:9" ht="27" customHeight="1">
      <c r="B180" s="682"/>
      <c r="C180" s="1233" t="s">
        <v>122</v>
      </c>
      <c r="D180" s="555" t="s">
        <v>123</v>
      </c>
      <c r="E180" s="1283" t="s">
        <v>64</v>
      </c>
      <c r="F180" s="1284"/>
      <c r="G180" s="1284"/>
      <c r="H180" s="1284"/>
      <c r="I180" s="1285"/>
    </row>
    <row r="181" spans="2:9" ht="27">
      <c r="B181" s="682"/>
      <c r="C181" s="1233"/>
      <c r="D181" s="555" t="s">
        <v>124</v>
      </c>
      <c r="E181" s="1283" t="s">
        <v>997</v>
      </c>
      <c r="F181" s="1284"/>
      <c r="G181" s="1284"/>
      <c r="H181" s="1284"/>
      <c r="I181" s="1285"/>
    </row>
    <row r="182" spans="2:9" ht="26.5" customHeight="1">
      <c r="B182" s="682"/>
      <c r="C182" s="1234"/>
      <c r="D182" s="1016" t="s">
        <v>125</v>
      </c>
      <c r="E182" s="1254" t="s">
        <v>997</v>
      </c>
      <c r="F182" s="1255"/>
      <c r="G182" s="1255"/>
      <c r="H182" s="1255"/>
      <c r="I182" s="1256"/>
    </row>
    <row r="183" spans="2:9">
      <c r="B183" s="682"/>
      <c r="C183" s="1245" t="s">
        <v>139</v>
      </c>
      <c r="D183" s="1245"/>
      <c r="E183" s="1245"/>
      <c r="F183" s="1245"/>
      <c r="G183" s="1245"/>
      <c r="H183" s="1245"/>
      <c r="I183" s="1245"/>
    </row>
    <row r="184" spans="2:9">
      <c r="B184" s="682"/>
      <c r="C184" s="702" t="s">
        <v>66</v>
      </c>
      <c r="D184" s="555" t="s">
        <v>71</v>
      </c>
      <c r="E184" s="1283" t="s">
        <v>1062</v>
      </c>
      <c r="F184" s="1284"/>
      <c r="G184" s="1284"/>
      <c r="H184" s="1284"/>
      <c r="I184" s="1285"/>
    </row>
    <row r="185" spans="2:9">
      <c r="B185" s="682"/>
      <c r="C185" s="1233" t="s">
        <v>140</v>
      </c>
      <c r="D185" s="545" t="s">
        <v>141</v>
      </c>
      <c r="E185" s="1280" t="s">
        <v>38</v>
      </c>
      <c r="F185" s="1281"/>
      <c r="G185" s="1281"/>
      <c r="H185" s="1281"/>
      <c r="I185" s="1282"/>
    </row>
    <row r="186" spans="2:9">
      <c r="B186" s="682"/>
      <c r="C186" s="1233"/>
      <c r="D186" s="555" t="s">
        <v>142</v>
      </c>
      <c r="E186" s="1283" t="s">
        <v>143</v>
      </c>
      <c r="F186" s="1284"/>
      <c r="G186" s="1284"/>
      <c r="H186" s="1284"/>
      <c r="I186" s="1285"/>
    </row>
    <row r="187" spans="2:9" ht="27">
      <c r="B187" s="682"/>
      <c r="C187" s="1234"/>
      <c r="D187" s="1016" t="s">
        <v>144</v>
      </c>
      <c r="E187" s="1254" t="s">
        <v>38</v>
      </c>
      <c r="F187" s="1255"/>
      <c r="G187" s="1255"/>
      <c r="H187" s="1255"/>
      <c r="I187" s="1256"/>
    </row>
    <row r="188" spans="2:9" hidden="1">
      <c r="B188" s="682"/>
      <c r="C188" s="1297" t="s">
        <v>162</v>
      </c>
      <c r="D188" s="1298"/>
      <c r="E188" s="1298"/>
      <c r="F188" s="1298"/>
      <c r="G188" s="1298"/>
      <c r="H188" s="1298"/>
      <c r="I188" s="1298"/>
    </row>
    <row r="189" spans="2:9" hidden="1">
      <c r="B189" s="682"/>
      <c r="C189" s="686" t="s">
        <v>66</v>
      </c>
      <c r="D189" s="554" t="s">
        <v>71</v>
      </c>
      <c r="E189" s="556"/>
      <c r="F189" s="557"/>
      <c r="G189" s="557"/>
      <c r="H189" s="557"/>
      <c r="I189" s="557"/>
    </row>
    <row r="190" spans="2:9" ht="35" hidden="1">
      <c r="B190" s="682"/>
      <c r="C190" s="1028" t="s">
        <v>163</v>
      </c>
      <c r="D190" s="1029" t="s">
        <v>164</v>
      </c>
      <c r="E190" s="1030"/>
      <c r="F190" s="1030"/>
      <c r="G190" s="1030"/>
      <c r="H190" s="1030"/>
      <c r="I190" s="1030"/>
    </row>
    <row r="191" spans="2:9">
      <c r="B191" s="682"/>
      <c r="C191" s="1245" t="s">
        <v>175</v>
      </c>
      <c r="D191" s="1245"/>
      <c r="E191" s="1245"/>
      <c r="F191" s="1245"/>
      <c r="G191" s="1245"/>
      <c r="H191" s="1245"/>
      <c r="I191" s="1245"/>
    </row>
    <row r="192" spans="2:9" hidden="1">
      <c r="B192" s="682"/>
      <c r="C192" s="1027" t="s">
        <v>66</v>
      </c>
      <c r="D192" s="555" t="s">
        <v>71</v>
      </c>
      <c r="E192" s="565" t="s">
        <v>166</v>
      </c>
      <c r="F192" s="558"/>
      <c r="G192" s="558"/>
      <c r="H192" s="558"/>
      <c r="I192" s="558"/>
    </row>
    <row r="193" spans="2:9">
      <c r="B193" s="682"/>
      <c r="C193" s="1013" t="s">
        <v>176</v>
      </c>
      <c r="D193" s="1014" t="s">
        <v>177</v>
      </c>
      <c r="E193" s="1286" t="s">
        <v>931</v>
      </c>
      <c r="F193" s="1287"/>
      <c r="G193" s="1287"/>
      <c r="H193" s="1287"/>
      <c r="I193" s="1288"/>
    </row>
    <row r="194" spans="2:9" ht="15" customHeight="1">
      <c r="B194" s="682"/>
      <c r="C194" s="1245" t="s">
        <v>178</v>
      </c>
      <c r="D194" s="1245"/>
      <c r="E194" s="1245"/>
      <c r="F194" s="1245"/>
      <c r="G194" s="1245"/>
      <c r="H194" s="1245"/>
      <c r="I194" s="1245"/>
    </row>
    <row r="195" spans="2:9">
      <c r="B195" s="682"/>
      <c r="C195" s="702" t="s">
        <v>66</v>
      </c>
      <c r="D195" s="555" t="s">
        <v>71</v>
      </c>
      <c r="E195" s="1280" t="s">
        <v>932</v>
      </c>
      <c r="F195" s="1281"/>
      <c r="G195" s="1281"/>
      <c r="H195" s="1281"/>
      <c r="I195" s="1282"/>
    </row>
    <row r="196" spans="2:9" ht="121.5" customHeight="1">
      <c r="B196" s="682"/>
      <c r="C196" s="1233" t="s">
        <v>179</v>
      </c>
      <c r="D196" s="555" t="s">
        <v>180</v>
      </c>
      <c r="E196" s="1277" t="s">
        <v>1064</v>
      </c>
      <c r="F196" s="1278"/>
      <c r="G196" s="1278"/>
      <c r="H196" s="1278"/>
      <c r="I196" s="1279"/>
    </row>
    <row r="197" spans="2:9" ht="27" customHeight="1">
      <c r="B197" s="682"/>
      <c r="C197" s="1234"/>
      <c r="D197" s="1014" t="s">
        <v>181</v>
      </c>
      <c r="E197" s="1254" t="s">
        <v>1063</v>
      </c>
      <c r="F197" s="1255"/>
      <c r="G197" s="1255"/>
      <c r="H197" s="1255"/>
      <c r="I197" s="1256"/>
    </row>
    <row r="198" spans="2:9">
      <c r="B198" s="682"/>
      <c r="C198" s="1245" t="s">
        <v>182</v>
      </c>
      <c r="D198" s="1245"/>
      <c r="E198" s="1245"/>
      <c r="F198" s="1245"/>
      <c r="G198" s="1245"/>
      <c r="H198" s="1245"/>
      <c r="I198" s="1245"/>
    </row>
    <row r="199" spans="2:9">
      <c r="B199" s="682"/>
      <c r="C199" s="702" t="s">
        <v>66</v>
      </c>
      <c r="D199" s="555" t="s">
        <v>71</v>
      </c>
      <c r="E199" s="1280" t="s">
        <v>932</v>
      </c>
      <c r="F199" s="1281"/>
      <c r="G199" s="1281"/>
      <c r="H199" s="1281"/>
      <c r="I199" s="1282"/>
    </row>
    <row r="200" spans="2:9" ht="122.5" customHeight="1">
      <c r="B200" s="682"/>
      <c r="C200" s="1233" t="s">
        <v>183</v>
      </c>
      <c r="D200" s="555" t="s">
        <v>184</v>
      </c>
      <c r="E200" s="1277" t="s">
        <v>934</v>
      </c>
      <c r="F200" s="1278"/>
      <c r="G200" s="1278"/>
      <c r="H200" s="1278"/>
      <c r="I200" s="1279"/>
    </row>
    <row r="201" spans="2:9" ht="27" customHeight="1">
      <c r="B201" s="682"/>
      <c r="C201" s="1233"/>
      <c r="D201" s="555" t="s">
        <v>185</v>
      </c>
      <c r="E201" s="1277" t="s">
        <v>1063</v>
      </c>
      <c r="F201" s="1278"/>
      <c r="G201" s="1278"/>
      <c r="H201" s="1278"/>
      <c r="I201" s="1279"/>
    </row>
    <row r="202" spans="2:9" ht="27" customHeight="1">
      <c r="B202" s="682"/>
      <c r="C202" s="1234"/>
      <c r="D202" s="1014" t="s">
        <v>186</v>
      </c>
      <c r="E202" s="1254" t="s">
        <v>1063</v>
      </c>
      <c r="F202" s="1255"/>
      <c r="G202" s="1255"/>
      <c r="H202" s="1255"/>
      <c r="I202" s="1256"/>
    </row>
    <row r="203" spans="2:9">
      <c r="B203" s="682"/>
      <c r="C203" s="1245" t="s">
        <v>187</v>
      </c>
      <c r="D203" s="1245"/>
      <c r="E203" s="1245"/>
      <c r="F203" s="1245"/>
      <c r="G203" s="1245"/>
      <c r="H203" s="1245"/>
      <c r="I203" s="1245"/>
    </row>
    <row r="204" spans="2:9" hidden="1">
      <c r="B204" s="682"/>
      <c r="C204" s="1027" t="s">
        <v>66</v>
      </c>
      <c r="D204" s="555" t="s">
        <v>71</v>
      </c>
      <c r="E204" s="565" t="s">
        <v>166</v>
      </c>
      <c r="F204" s="558"/>
      <c r="G204" s="558"/>
      <c r="H204" s="558"/>
      <c r="I204" s="558"/>
    </row>
    <row r="205" spans="2:9" ht="31.5" customHeight="1">
      <c r="B205" s="683"/>
      <c r="C205" s="1013" t="s">
        <v>188</v>
      </c>
      <c r="D205" s="1020" t="s">
        <v>189</v>
      </c>
      <c r="E205" s="1254" t="s">
        <v>153</v>
      </c>
      <c r="F205" s="1255"/>
      <c r="G205" s="1255"/>
      <c r="H205" s="1255"/>
      <c r="I205" s="1256"/>
    </row>
  </sheetData>
  <sheetProtection algorithmName="SHA-512" hashValue="Iaj/wSu3qze6uF5L/Hgxry5J094rU4nrwpoj7J1yfMKFjTJtb2WJ5FYcieTuUo0bP6hF6klz2vCHSCcqvzohkw==" saltValue="M08MBUFiglBzrJlR+6PCkQ==" spinCount="100000" sheet="1" objects="1" scenarios="1"/>
  <dataConsolidate/>
  <mergeCells count="136">
    <mergeCell ref="C178:I178"/>
    <mergeCell ref="D29:D30"/>
    <mergeCell ref="F29:F30"/>
    <mergeCell ref="G29:G30"/>
    <mergeCell ref="H29:H30"/>
    <mergeCell ref="D38:D39"/>
    <mergeCell ref="F38:F39"/>
    <mergeCell ref="G38:G39"/>
    <mergeCell ref="H38:H39"/>
    <mergeCell ref="C175:I175"/>
    <mergeCell ref="C158:I158"/>
    <mergeCell ref="C171:C174"/>
    <mergeCell ref="C169:I169"/>
    <mergeCell ref="C62:I62"/>
    <mergeCell ref="C69:C73"/>
    <mergeCell ref="C101:I101"/>
    <mergeCell ref="F117:F118"/>
    <mergeCell ref="C122:D122"/>
    <mergeCell ref="C148:I148"/>
    <mergeCell ref="C143:F143"/>
    <mergeCell ref="C144:F144"/>
    <mergeCell ref="E170:I170"/>
    <mergeCell ref="E171:I171"/>
    <mergeCell ref="M8:R14"/>
    <mergeCell ref="L49:O49"/>
    <mergeCell ref="L44:P46"/>
    <mergeCell ref="C102:C103"/>
    <mergeCell ref="D102:D103"/>
    <mergeCell ref="C64:C66"/>
    <mergeCell ref="I12:I13"/>
    <mergeCell ref="C50:I50"/>
    <mergeCell ref="C14:I14"/>
    <mergeCell ref="C15:C46"/>
    <mergeCell ref="E12:E13"/>
    <mergeCell ref="F12:H12"/>
    <mergeCell ref="C12:C13"/>
    <mergeCell ref="D12:D13"/>
    <mergeCell ref="I20:I46"/>
    <mergeCell ref="F15:I19"/>
    <mergeCell ref="F48:I49"/>
    <mergeCell ref="B4:C4"/>
    <mergeCell ref="B5:C5"/>
    <mergeCell ref="B2:I2"/>
    <mergeCell ref="C203:I203"/>
    <mergeCell ref="C140:I141"/>
    <mergeCell ref="C114:I114"/>
    <mergeCell ref="C185:C187"/>
    <mergeCell ref="C116:C118"/>
    <mergeCell ref="D117:D118"/>
    <mergeCell ref="C104:C113"/>
    <mergeCell ref="C133:C134"/>
    <mergeCell ref="C198:I198"/>
    <mergeCell ref="C137:C138"/>
    <mergeCell ref="C135:I135"/>
    <mergeCell ref="C191:I191"/>
    <mergeCell ref="C196:C197"/>
    <mergeCell ref="C194:I194"/>
    <mergeCell ref="C183:I183"/>
    <mergeCell ref="C128:I128"/>
    <mergeCell ref="C188:I188"/>
    <mergeCell ref="C131:I131"/>
    <mergeCell ref="D152:D153"/>
    <mergeCell ref="E179:I179"/>
    <mergeCell ref="E177:I177"/>
    <mergeCell ref="E205:I205"/>
    <mergeCell ref="C56:I56"/>
    <mergeCell ref="F102:F103"/>
    <mergeCell ref="G102:G103"/>
    <mergeCell ref="H102:H103"/>
    <mergeCell ref="I102:I103"/>
    <mergeCell ref="E196:I196"/>
    <mergeCell ref="E197:I197"/>
    <mergeCell ref="E199:I199"/>
    <mergeCell ref="E200:I200"/>
    <mergeCell ref="E201:I201"/>
    <mergeCell ref="E185:I185"/>
    <mergeCell ref="E186:I186"/>
    <mergeCell ref="E187:I187"/>
    <mergeCell ref="E193:I193"/>
    <mergeCell ref="E195:I195"/>
    <mergeCell ref="E184:I184"/>
    <mergeCell ref="E180:I180"/>
    <mergeCell ref="E181:I181"/>
    <mergeCell ref="E182:I182"/>
    <mergeCell ref="C57:C58"/>
    <mergeCell ref="C200:C202"/>
    <mergeCell ref="C180:C182"/>
    <mergeCell ref="C99:C100"/>
    <mergeCell ref="E202:I202"/>
    <mergeCell ref="C83:C89"/>
    <mergeCell ref="C74:I74"/>
    <mergeCell ref="G143:I143"/>
    <mergeCell ref="G144:I144"/>
    <mergeCell ref="H117:H118"/>
    <mergeCell ref="I117:I118"/>
    <mergeCell ref="C76:C80"/>
    <mergeCell ref="C81:I81"/>
    <mergeCell ref="C90:I90"/>
    <mergeCell ref="C97:I97"/>
    <mergeCell ref="C92:C96"/>
    <mergeCell ref="C154:C157"/>
    <mergeCell ref="C142:I142"/>
    <mergeCell ref="C145:I145"/>
    <mergeCell ref="E172:I172"/>
    <mergeCell ref="C166:I166"/>
    <mergeCell ref="C164:C165"/>
    <mergeCell ref="C152:C153"/>
    <mergeCell ref="C162:I162"/>
    <mergeCell ref="E156:I156"/>
    <mergeCell ref="C151:I151"/>
    <mergeCell ref="C160:C161"/>
    <mergeCell ref="G117:G118"/>
    <mergeCell ref="D4:E4"/>
    <mergeCell ref="D5:E5"/>
    <mergeCell ref="B135:B138"/>
    <mergeCell ref="B114:B118"/>
    <mergeCell ref="B119:B121"/>
    <mergeCell ref="B122:B124"/>
    <mergeCell ref="B125:B127"/>
    <mergeCell ref="B128:B130"/>
    <mergeCell ref="B15:B46"/>
    <mergeCell ref="C52:C55"/>
    <mergeCell ref="B62:B66"/>
    <mergeCell ref="B56:B61"/>
    <mergeCell ref="B50:B55"/>
    <mergeCell ref="D57:D58"/>
    <mergeCell ref="C59:C61"/>
    <mergeCell ref="C67:I67"/>
    <mergeCell ref="B12:B13"/>
    <mergeCell ref="B131:B134"/>
    <mergeCell ref="B90:B96"/>
    <mergeCell ref="B81:B89"/>
    <mergeCell ref="B74:B80"/>
    <mergeCell ref="B67:B73"/>
    <mergeCell ref="B101:B113"/>
    <mergeCell ref="B97:B100"/>
  </mergeCells>
  <phoneticPr fontId="3" type="noConversion"/>
  <dataValidations disablePrompts="1" count="1">
    <dataValidation type="list" allowBlank="1" showInputMessage="1" showErrorMessage="1" sqref="G146:G147 G51:G55 G159:G161 G163:G165 G167:G168 G173:G174 G157 G57:G66 G68:G73 G75:G80 G115:G117 G82:G89 G204 G176 G192 G40:G46 G31:G38 G152:G155 G120:G121 G123:G124 G126:G127 G129:G130 G189:G190 G149:G150 G132:G138 G20:G29 G91:G102 G104:G113" xr:uid="{3E06413D-A277-4B91-8837-958EEE26038F}">
      <formula1>"Not applicable,Legal prohibitions,Confidentiality constraints,Information unavailable/incomplete"</formula1>
    </dataValidation>
  </dataValidations>
  <hyperlinks>
    <hyperlink ref="E30" r:id="rId1" location=":~:text=Employees%20must%20avoid%20conflicts%20of,and%20those%20of%20the%20Company.&amp;text=Employees%20are%20responsible%20for%20identifying,or%20others%20and%20disclosing%20them." xr:uid="{41815C1A-FF53-49C9-A3FC-EB853956B5FE}"/>
    <hyperlink ref="E39" r:id="rId2" location="Policies" xr:uid="{95F6AE82-70E3-4EC6-B81D-B4D594BFC2BC}"/>
    <hyperlink ref="E103" r:id="rId3" xr:uid="{37EA65A1-E354-4434-BC15-896C31F39B68}"/>
    <hyperlink ref="E118" r:id="rId4" xr:uid="{7D21C118-8494-4D61-BCA4-610899863C62}"/>
    <hyperlink ref="E156" r:id="rId5" location=":~:text=JM%E2%80%99s%20biodiversity%20site%20nurtures%20hundreds%20of%20plant%20and,value%20that%20can%20be%20associated%20with%20brownfield%20sites." xr:uid="{7831945C-A4E9-42A8-86EB-BD14D37BE3E8}"/>
    <hyperlink ref="E171" r:id="rId6" display="JM Global tax policy" xr:uid="{4D730960-2A50-4AFA-BF58-942571C70002}"/>
    <hyperlink ref="E172" r:id="rId7" xr:uid="{B33CB839-5339-4A8A-941F-49D4CBAF1C5B}"/>
    <hyperlink ref="E58" r:id="rId8" xr:uid="{21DA36BF-CFD7-4B1C-BDC5-55B4E36AC3DD}"/>
  </hyperlinks>
  <pageMargins left="0.23622047244094491" right="0.23622047244094491" top="0.74803149606299213" bottom="0.74803149606299213" header="0.31496062992125984" footer="0.31496062992125984"/>
  <pageSetup paperSize="9" scale="52" fitToHeight="0" orientation="landscape" verticalDpi="1200" r:id="rId9"/>
  <rowBreaks count="4" manualBreakCount="4">
    <brk id="46" min="1" max="8" man="1"/>
    <brk id="61" min="1" max="8" man="1"/>
    <brk id="96" min="1" max="8" man="1"/>
    <brk id="138" min="1" max="8" man="1"/>
  </rowBreaks>
  <drawing r:id="rId1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FD982-80FE-4EEB-B723-5514EEE85F71}">
  <sheetPr>
    <pageSetUpPr fitToPage="1"/>
  </sheetPr>
  <dimension ref="B2:K35"/>
  <sheetViews>
    <sheetView zoomScale="80" zoomScaleNormal="80" workbookViewId="0"/>
  </sheetViews>
  <sheetFormatPr defaultColWidth="8.81640625" defaultRowHeight="13.5"/>
  <cols>
    <col min="1" max="1" width="3.81640625" style="64" customWidth="1"/>
    <col min="2" max="2" width="45" style="64" customWidth="1"/>
    <col min="3" max="3" width="108.08984375" style="64" customWidth="1"/>
    <col min="4" max="4" width="15.81640625" style="64" customWidth="1"/>
    <col min="5" max="5" width="73.36328125" style="64" customWidth="1"/>
    <col min="6" max="6" width="29.6328125" style="64" customWidth="1"/>
    <col min="7" max="16384" width="8.81640625" style="64"/>
  </cols>
  <sheetData>
    <row r="2" spans="2:5" ht="24.5">
      <c r="B2" s="1333" t="s">
        <v>9</v>
      </c>
      <c r="C2" s="1333"/>
      <c r="D2" s="1333"/>
    </row>
    <row r="3" spans="2:5">
      <c r="B3" s="1066"/>
      <c r="C3" s="1066"/>
      <c r="D3" s="1066"/>
    </row>
    <row r="4" spans="2:5" ht="15">
      <c r="B4" s="1067" t="s">
        <v>908</v>
      </c>
      <c r="C4" s="1066"/>
      <c r="D4" s="1066"/>
    </row>
    <row r="5" spans="2:5">
      <c r="B5" s="1066"/>
      <c r="C5" s="1066"/>
      <c r="D5" s="1066"/>
    </row>
    <row r="6" spans="2:5">
      <c r="B6" s="10" t="s">
        <v>26</v>
      </c>
      <c r="C6" s="14"/>
      <c r="D6" s="14"/>
    </row>
    <row r="7" spans="2:5">
      <c r="B7" s="11" t="s">
        <v>27</v>
      </c>
      <c r="C7" s="14"/>
      <c r="D7" s="14"/>
    </row>
    <row r="8" spans="2:5">
      <c r="B8" s="11" t="s">
        <v>28</v>
      </c>
      <c r="C8" s="14"/>
      <c r="D8" s="14"/>
    </row>
    <row r="9" spans="2:5">
      <c r="B9" s="11"/>
      <c r="C9" s="14"/>
      <c r="D9" s="14"/>
    </row>
    <row r="10" spans="2:5">
      <c r="B10" s="1063" t="s">
        <v>234</v>
      </c>
      <c r="C10" s="1064" t="s">
        <v>235</v>
      </c>
      <c r="D10" s="1064" t="s">
        <v>236</v>
      </c>
      <c r="E10" s="1065" t="s">
        <v>237</v>
      </c>
    </row>
    <row r="11" spans="2:5" ht="27">
      <c r="B11" s="1334" t="s">
        <v>238</v>
      </c>
      <c r="C11" s="852" t="s">
        <v>239</v>
      </c>
      <c r="D11" s="853" t="s">
        <v>240</v>
      </c>
      <c r="E11" s="1068" t="s">
        <v>241</v>
      </c>
    </row>
    <row r="12" spans="2:5" ht="27">
      <c r="B12" s="1335"/>
      <c r="C12" s="854" t="s">
        <v>242</v>
      </c>
      <c r="D12" s="855" t="s">
        <v>243</v>
      </c>
      <c r="E12" s="1069" t="s">
        <v>244</v>
      </c>
    </row>
    <row r="13" spans="2:5" ht="27">
      <c r="B13" s="857" t="s">
        <v>245</v>
      </c>
      <c r="C13" s="858" t="s">
        <v>246</v>
      </c>
      <c r="D13" s="859" t="s">
        <v>247</v>
      </c>
      <c r="E13" s="1070" t="s">
        <v>248</v>
      </c>
    </row>
    <row r="14" spans="2:5" ht="28">
      <c r="B14" s="856" t="s">
        <v>249</v>
      </c>
      <c r="C14" s="850" t="s">
        <v>1132</v>
      </c>
      <c r="D14" s="851" t="s">
        <v>250</v>
      </c>
      <c r="E14" s="1071" t="s">
        <v>241</v>
      </c>
    </row>
    <row r="15" spans="2:5" ht="27">
      <c r="B15" s="1336" t="s">
        <v>251</v>
      </c>
      <c r="C15" s="852" t="s">
        <v>252</v>
      </c>
      <c r="D15" s="853" t="s">
        <v>253</v>
      </c>
      <c r="E15" s="1068" t="s">
        <v>248</v>
      </c>
    </row>
    <row r="16" spans="2:5" ht="27">
      <c r="B16" s="1337"/>
      <c r="C16" s="701" t="s">
        <v>254</v>
      </c>
      <c r="D16" s="516" t="s">
        <v>255</v>
      </c>
      <c r="E16" s="1072" t="s">
        <v>256</v>
      </c>
    </row>
    <row r="17" spans="2:11" ht="27">
      <c r="B17" s="1338"/>
      <c r="C17" s="854" t="s">
        <v>257</v>
      </c>
      <c r="D17" s="855" t="s">
        <v>258</v>
      </c>
      <c r="E17" s="1069" t="s">
        <v>256</v>
      </c>
      <c r="K17" s="544"/>
    </row>
    <row r="18" spans="2:11" ht="27">
      <c r="B18" s="856" t="s">
        <v>259</v>
      </c>
      <c r="C18" s="850" t="s">
        <v>1133</v>
      </c>
      <c r="D18" s="851" t="s">
        <v>260</v>
      </c>
      <c r="E18" s="1071" t="s">
        <v>256</v>
      </c>
    </row>
    <row r="19" spans="2:11">
      <c r="B19" s="856" t="s">
        <v>261</v>
      </c>
      <c r="C19" s="850" t="s">
        <v>262</v>
      </c>
      <c r="D19" s="851" t="s">
        <v>263</v>
      </c>
      <c r="E19" s="1070" t="s">
        <v>940</v>
      </c>
      <c r="F19" s="534"/>
    </row>
    <row r="20" spans="2:11" ht="27">
      <c r="B20" s="1336" t="s">
        <v>264</v>
      </c>
      <c r="C20" s="852" t="s">
        <v>265</v>
      </c>
      <c r="D20" s="853" t="s">
        <v>266</v>
      </c>
      <c r="E20" s="1068" t="s">
        <v>927</v>
      </c>
    </row>
    <row r="21" spans="2:11" ht="27">
      <c r="B21" s="1338"/>
      <c r="C21" s="854" t="s">
        <v>267</v>
      </c>
      <c r="D21" s="855" t="s">
        <v>268</v>
      </c>
      <c r="E21" s="1069" t="s">
        <v>269</v>
      </c>
    </row>
    <row r="22" spans="2:11">
      <c r="B22" s="849" t="s">
        <v>270</v>
      </c>
      <c r="C22" s="850" t="s">
        <v>271</v>
      </c>
      <c r="D22" s="851" t="s">
        <v>272</v>
      </c>
      <c r="E22" s="1073" t="s">
        <v>976</v>
      </c>
    </row>
    <row r="23" spans="2:11" ht="94.5">
      <c r="B23" s="1336" t="s">
        <v>273</v>
      </c>
      <c r="C23" s="852" t="s">
        <v>274</v>
      </c>
      <c r="D23" s="853" t="s">
        <v>275</v>
      </c>
      <c r="E23" s="1068" t="s">
        <v>1153</v>
      </c>
    </row>
    <row r="24" spans="2:11" ht="108">
      <c r="B24" s="1338"/>
      <c r="C24" s="854" t="s">
        <v>276</v>
      </c>
      <c r="D24" s="855" t="s">
        <v>277</v>
      </c>
      <c r="E24" s="1069" t="s">
        <v>933</v>
      </c>
    </row>
    <row r="25" spans="2:11">
      <c r="B25" s="849" t="s">
        <v>278</v>
      </c>
      <c r="C25" s="850" t="s">
        <v>279</v>
      </c>
      <c r="D25" s="851" t="s">
        <v>280</v>
      </c>
      <c r="E25" s="1070" t="s">
        <v>932</v>
      </c>
    </row>
    <row r="26" spans="2:11" ht="27">
      <c r="B26" s="849" t="s">
        <v>281</v>
      </c>
      <c r="C26" s="850" t="s">
        <v>282</v>
      </c>
      <c r="D26" s="851" t="s">
        <v>283</v>
      </c>
      <c r="E26" s="1071" t="s">
        <v>932</v>
      </c>
    </row>
    <row r="27" spans="2:11" ht="28">
      <c r="B27" s="1336" t="s">
        <v>284</v>
      </c>
      <c r="C27" s="852" t="s">
        <v>1134</v>
      </c>
      <c r="D27" s="853" t="s">
        <v>285</v>
      </c>
      <c r="E27" s="1068" t="s">
        <v>978</v>
      </c>
    </row>
    <row r="28" spans="2:11" ht="14.5">
      <c r="B28" s="1338"/>
      <c r="C28" s="854" t="s">
        <v>1135</v>
      </c>
      <c r="D28" s="855" t="s">
        <v>286</v>
      </c>
      <c r="E28" s="1074" t="s">
        <v>1014</v>
      </c>
    </row>
    <row r="29" spans="2:11" ht="14.5">
      <c r="B29" s="849" t="s">
        <v>287</v>
      </c>
      <c r="C29" s="850" t="s">
        <v>1136</v>
      </c>
      <c r="D29" s="851" t="s">
        <v>288</v>
      </c>
      <c r="E29" s="1070" t="s">
        <v>1006</v>
      </c>
    </row>
    <row r="30" spans="2:11">
      <c r="B30" s="98"/>
      <c r="C30" s="98"/>
      <c r="D30" s="98"/>
      <c r="E30" s="98"/>
    </row>
    <row r="31" spans="2:11">
      <c r="B31" s="1339" t="s">
        <v>289</v>
      </c>
      <c r="C31" s="1339"/>
      <c r="D31" s="1339"/>
      <c r="E31" s="1339"/>
    </row>
    <row r="32" spans="2:11" ht="20.5" customHeight="1">
      <c r="B32" s="1339" t="s">
        <v>290</v>
      </c>
      <c r="C32" s="1339"/>
      <c r="D32" s="1339"/>
      <c r="E32" s="1339"/>
    </row>
    <row r="33" spans="2:5">
      <c r="B33" s="1339" t="s">
        <v>291</v>
      </c>
      <c r="C33" s="1339"/>
      <c r="D33" s="1339"/>
      <c r="E33" s="1339"/>
    </row>
    <row r="34" spans="2:5">
      <c r="B34" s="1339" t="s">
        <v>292</v>
      </c>
      <c r="C34" s="1339"/>
      <c r="D34" s="1339"/>
      <c r="E34" s="1339"/>
    </row>
    <row r="35" spans="2:5" ht="20.5" customHeight="1">
      <c r="B35" s="1339" t="s">
        <v>293</v>
      </c>
      <c r="C35" s="1339"/>
      <c r="D35" s="1339"/>
      <c r="E35" s="1339"/>
    </row>
  </sheetData>
  <sheetProtection algorithmName="SHA-512" hashValue="WFdhot88fXu2IFbdBvROqy/eahhPGXrdGLm86xCg/YEb+I9PmkUXDygAZzmUS0nxa/A3eEFsX+STZae6QvmK9g==" saltValue="xtF19z1pNeEZJ1rPGAPFnA==" spinCount="100000" sheet="1" objects="1" scenarios="1"/>
  <mergeCells count="11">
    <mergeCell ref="B2:D2"/>
    <mergeCell ref="B11:B12"/>
    <mergeCell ref="B15:B17"/>
    <mergeCell ref="B20:B21"/>
    <mergeCell ref="B35:E35"/>
    <mergeCell ref="B23:B24"/>
    <mergeCell ref="B27:B28"/>
    <mergeCell ref="B31:E31"/>
    <mergeCell ref="B32:E32"/>
    <mergeCell ref="B33:E33"/>
    <mergeCell ref="B34:E34"/>
  </mergeCells>
  <pageMargins left="0.70866141732283472" right="0.70866141732283472" top="0.74803149606299213" bottom="0.74803149606299213" header="0.31496062992125984" footer="0.31496062992125984"/>
  <pageSetup paperSize="9" scale="5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D0327-0661-4142-9CE8-702AC7608113}">
  <sheetPr>
    <pageSetUpPr fitToPage="1"/>
  </sheetPr>
  <dimension ref="B2:K21"/>
  <sheetViews>
    <sheetView zoomScale="80" zoomScaleNormal="80" workbookViewId="0"/>
  </sheetViews>
  <sheetFormatPr defaultColWidth="8.81640625" defaultRowHeight="13.5"/>
  <cols>
    <col min="1" max="1" width="2.81640625" style="461" customWidth="1"/>
    <col min="2" max="2" width="24.36328125" style="461" customWidth="1"/>
    <col min="3" max="3" width="119.1796875" style="461" customWidth="1"/>
    <col min="4" max="4" width="27.08984375" style="461" customWidth="1"/>
    <col min="5" max="5" width="16.453125" style="461" customWidth="1"/>
    <col min="6" max="6" width="24.81640625" style="461" customWidth="1"/>
    <col min="7" max="16384" width="8.81640625" style="461"/>
  </cols>
  <sheetData>
    <row r="2" spans="2:4" ht="24.5">
      <c r="B2" s="1333" t="s">
        <v>10</v>
      </c>
      <c r="C2" s="1333"/>
      <c r="D2" s="1333"/>
    </row>
    <row r="3" spans="2:4">
      <c r="B3" s="1078"/>
      <c r="C3" s="1078"/>
      <c r="D3" s="1078"/>
    </row>
    <row r="4" spans="2:4" s="860" customFormat="1">
      <c r="B4" s="1079" t="s">
        <v>294</v>
      </c>
      <c r="C4" s="1078"/>
      <c r="D4" s="1078"/>
    </row>
    <row r="5" spans="2:4">
      <c r="B5" s="526"/>
      <c r="C5" s="526"/>
      <c r="D5" s="526"/>
    </row>
    <row r="6" spans="2:4">
      <c r="B6" s="527" t="s">
        <v>26</v>
      </c>
      <c r="C6" s="526"/>
      <c r="D6" s="526"/>
    </row>
    <row r="7" spans="2:4">
      <c r="B7" s="462" t="s">
        <v>27</v>
      </c>
      <c r="C7" s="526"/>
      <c r="D7" s="526"/>
    </row>
    <row r="8" spans="2:4">
      <c r="B8" s="462" t="s">
        <v>28</v>
      </c>
      <c r="C8" s="526"/>
      <c r="D8" s="526"/>
    </row>
    <row r="9" spans="2:4">
      <c r="B9" s="462"/>
      <c r="C9" s="526"/>
      <c r="D9" s="526"/>
    </row>
    <row r="10" spans="2:4">
      <c r="B10" s="1063" t="s">
        <v>295</v>
      </c>
      <c r="C10" s="1064" t="s">
        <v>296</v>
      </c>
      <c r="D10" s="1065" t="s">
        <v>237</v>
      </c>
    </row>
    <row r="11" spans="2:4" ht="15">
      <c r="B11" s="1340" t="s">
        <v>297</v>
      </c>
      <c r="C11" s="831" t="s">
        <v>298</v>
      </c>
      <c r="D11" s="1075" t="s">
        <v>299</v>
      </c>
    </row>
    <row r="12" spans="2:4" ht="15">
      <c r="B12" s="1342"/>
      <c r="C12" s="832" t="s">
        <v>300</v>
      </c>
      <c r="D12" s="1076" t="s">
        <v>299</v>
      </c>
    </row>
    <row r="13" spans="2:4" ht="30">
      <c r="B13" s="1340" t="s">
        <v>13</v>
      </c>
      <c r="C13" s="831" t="s">
        <v>301</v>
      </c>
      <c r="D13" s="1075" t="s">
        <v>969</v>
      </c>
    </row>
    <row r="14" spans="2:4" ht="30">
      <c r="B14" s="1341"/>
      <c r="C14" s="830" t="s">
        <v>302</v>
      </c>
      <c r="D14" s="1077" t="s">
        <v>969</v>
      </c>
    </row>
    <row r="15" spans="2:4" ht="31.5">
      <c r="B15" s="1342"/>
      <c r="C15" s="832" t="s">
        <v>1150</v>
      </c>
      <c r="D15" s="1076" t="s">
        <v>969</v>
      </c>
    </row>
    <row r="16" spans="2:4" ht="15">
      <c r="B16" s="1340" t="s">
        <v>303</v>
      </c>
      <c r="C16" s="831" t="s">
        <v>304</v>
      </c>
      <c r="D16" s="1075" t="s">
        <v>970</v>
      </c>
    </row>
    <row r="17" spans="2:11" ht="15">
      <c r="B17" s="1341"/>
      <c r="C17" s="830" t="s">
        <v>305</v>
      </c>
      <c r="D17" s="1077" t="s">
        <v>970</v>
      </c>
      <c r="K17" s="550"/>
    </row>
    <row r="18" spans="2:11" ht="30">
      <c r="B18" s="1342"/>
      <c r="C18" s="832" t="s">
        <v>306</v>
      </c>
      <c r="D18" s="1076" t="s">
        <v>970</v>
      </c>
    </row>
    <row r="19" spans="2:11" ht="30">
      <c r="B19" s="1340" t="s">
        <v>307</v>
      </c>
      <c r="C19" s="831" t="s">
        <v>308</v>
      </c>
      <c r="D19" s="1075" t="s">
        <v>309</v>
      </c>
    </row>
    <row r="20" spans="2:11" ht="30">
      <c r="B20" s="1341"/>
      <c r="C20" s="830" t="s">
        <v>310</v>
      </c>
      <c r="D20" s="1077" t="s">
        <v>1151</v>
      </c>
    </row>
    <row r="21" spans="2:11" ht="36" customHeight="1">
      <c r="B21" s="1342"/>
      <c r="C21" s="832" t="s">
        <v>311</v>
      </c>
      <c r="D21" s="1076" t="s">
        <v>309</v>
      </c>
    </row>
  </sheetData>
  <sheetProtection algorithmName="SHA-512" hashValue="xRwWLz+YtOpT1rKfsPQyl6ZEfcCZHuHty7YEUHZ0Z+MYFd4b+zejUPtI2T9ob3ixcA5dIpGnNp3C6/QcEspCew==" saltValue="r6JkTIC70ZuhOrOfsHX//Q==" spinCount="100000" sheet="1" objects="1" scenarios="1"/>
  <mergeCells count="5">
    <mergeCell ref="B13:B15"/>
    <mergeCell ref="B11:B12"/>
    <mergeCell ref="B16:B18"/>
    <mergeCell ref="B19:B21"/>
    <mergeCell ref="B2:D2"/>
  </mergeCells>
  <phoneticPr fontId="3" type="noConversion"/>
  <pageMargins left="0.70866141732283472" right="0.70866141732283472" top="0.74803149606299213" bottom="0.74803149606299213" header="0.31496062992125984" footer="0.31496062992125984"/>
  <pageSetup paperSize="9" scale="77"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B2:M28"/>
  <sheetViews>
    <sheetView zoomScale="80" zoomScaleNormal="80" workbookViewId="0"/>
  </sheetViews>
  <sheetFormatPr defaultColWidth="8.81640625" defaultRowHeight="13.5"/>
  <cols>
    <col min="1" max="1" width="5.81640625" style="461" customWidth="1"/>
    <col min="2" max="2" width="16.54296875" style="461" customWidth="1"/>
    <col min="3" max="3" width="47.1796875" style="461" customWidth="1"/>
    <col min="4" max="4" width="56.90625" style="461" customWidth="1"/>
    <col min="5" max="5" width="65" style="463" hidden="1" customWidth="1"/>
    <col min="6" max="6" width="65" style="464" hidden="1" customWidth="1"/>
    <col min="7" max="7" width="36.1796875" style="461" customWidth="1"/>
    <col min="8" max="8" width="52.90625" style="461" customWidth="1"/>
    <col min="9" max="9" width="50.36328125" style="461" customWidth="1"/>
    <col min="10" max="10" width="9.90625" style="461" bestFit="1" customWidth="1"/>
    <col min="11" max="12" width="8.81640625" style="461"/>
    <col min="13" max="13" width="10.81640625" style="461" bestFit="1" customWidth="1"/>
    <col min="14" max="16384" width="8.81640625" style="461"/>
  </cols>
  <sheetData>
    <row r="2" spans="2:9" ht="24.5">
      <c r="B2" s="1333" t="s">
        <v>312</v>
      </c>
      <c r="C2" s="1333"/>
      <c r="D2" s="1333"/>
      <c r="E2" s="1333"/>
      <c r="F2" s="1333"/>
    </row>
    <row r="4" spans="2:9" ht="15">
      <c r="B4" s="540" t="s">
        <v>27</v>
      </c>
    </row>
    <row r="5" spans="2:9" ht="15">
      <c r="B5" s="540" t="s">
        <v>28</v>
      </c>
    </row>
    <row r="7" spans="2:9" s="539" customFormat="1" ht="17.5" customHeight="1">
      <c r="B7" s="1089" t="s">
        <v>313</v>
      </c>
      <c r="C7" s="1089" t="s">
        <v>979</v>
      </c>
      <c r="D7" s="1089" t="s">
        <v>980</v>
      </c>
      <c r="E7" s="1089" t="s">
        <v>313</v>
      </c>
      <c r="F7" s="1089" t="s">
        <v>313</v>
      </c>
      <c r="G7" s="1090" t="s">
        <v>237</v>
      </c>
      <c r="H7" s="1090" t="s">
        <v>314</v>
      </c>
    </row>
    <row r="8" spans="2:9" ht="27">
      <c r="B8" s="1343" t="s">
        <v>99</v>
      </c>
      <c r="C8" s="1353" t="s">
        <v>315</v>
      </c>
      <c r="D8" s="864" t="s">
        <v>351</v>
      </c>
      <c r="E8" s="865"/>
      <c r="F8" s="1346" t="s">
        <v>316</v>
      </c>
      <c r="G8" s="889" t="s">
        <v>241</v>
      </c>
      <c r="H8" s="1080" t="s">
        <v>1162</v>
      </c>
    </row>
    <row r="9" spans="2:9" ht="27">
      <c r="B9" s="1344"/>
      <c r="C9" s="1354"/>
      <c r="D9" s="551" t="s">
        <v>352</v>
      </c>
      <c r="E9" s="696"/>
      <c r="F9" s="1347"/>
      <c r="G9" s="839" t="s">
        <v>241</v>
      </c>
      <c r="H9" s="1081" t="s">
        <v>1163</v>
      </c>
    </row>
    <row r="10" spans="2:9" ht="27">
      <c r="B10" s="1344"/>
      <c r="C10" s="1354"/>
      <c r="D10" s="551" t="s">
        <v>957</v>
      </c>
      <c r="E10" s="696"/>
      <c r="F10" s="1347"/>
      <c r="G10" s="839" t="s">
        <v>241</v>
      </c>
      <c r="H10" s="1081" t="s">
        <v>1164</v>
      </c>
    </row>
    <row r="11" spans="2:9" ht="31" customHeight="1">
      <c r="B11" s="1344"/>
      <c r="C11" s="1354"/>
      <c r="D11" s="551" t="s">
        <v>958</v>
      </c>
      <c r="E11" s="696"/>
      <c r="F11" s="1347"/>
      <c r="G11" s="839" t="s">
        <v>1005</v>
      </c>
      <c r="H11" s="1081" t="s">
        <v>1165</v>
      </c>
    </row>
    <row r="12" spans="2:9" ht="54" hidden="1" customHeight="1">
      <c r="B12" s="1344"/>
      <c r="C12" s="696" t="s">
        <v>317</v>
      </c>
      <c r="D12" s="696" t="s">
        <v>317</v>
      </c>
      <c r="E12" s="696"/>
      <c r="F12" s="698" t="s">
        <v>947</v>
      </c>
      <c r="G12" s="890"/>
      <c r="H12" s="1082"/>
    </row>
    <row r="13" spans="2:9" ht="31" customHeight="1">
      <c r="B13" s="1344"/>
      <c r="C13" s="697" t="s">
        <v>956</v>
      </c>
      <c r="D13" s="551" t="s">
        <v>987</v>
      </c>
      <c r="E13" s="696"/>
      <c r="F13" s="698" t="s">
        <v>318</v>
      </c>
      <c r="G13" s="839" t="s">
        <v>1004</v>
      </c>
      <c r="H13" s="1083" t="s">
        <v>1166</v>
      </c>
      <c r="I13" s="537"/>
    </row>
    <row r="14" spans="2:9" ht="31" customHeight="1">
      <c r="B14" s="1344"/>
      <c r="C14" s="552" t="s">
        <v>319</v>
      </c>
      <c r="D14" s="552" t="s">
        <v>981</v>
      </c>
      <c r="E14" s="553" t="s">
        <v>320</v>
      </c>
      <c r="F14" s="699" t="s">
        <v>321</v>
      </c>
      <c r="G14" s="839" t="s">
        <v>1111</v>
      </c>
      <c r="H14" s="1082" t="s">
        <v>1108</v>
      </c>
    </row>
    <row r="15" spans="2:9" ht="49" customHeight="1">
      <c r="B15" s="1344"/>
      <c r="C15" s="697" t="s">
        <v>322</v>
      </c>
      <c r="D15" s="697" t="s">
        <v>986</v>
      </c>
      <c r="E15" s="554" t="s">
        <v>323</v>
      </c>
      <c r="F15" s="698" t="s">
        <v>324</v>
      </c>
      <c r="G15" s="839" t="s">
        <v>1005</v>
      </c>
      <c r="H15" s="1083" t="s">
        <v>995</v>
      </c>
    </row>
    <row r="16" spans="2:9" ht="30" customHeight="1">
      <c r="B16" s="1345"/>
      <c r="C16" s="866" t="s">
        <v>325</v>
      </c>
      <c r="D16" s="866" t="s">
        <v>989</v>
      </c>
      <c r="E16" s="867" t="s">
        <v>326</v>
      </c>
      <c r="F16" s="868" t="s">
        <v>327</v>
      </c>
      <c r="G16" s="891" t="s">
        <v>1004</v>
      </c>
      <c r="H16" s="1084" t="s">
        <v>1002</v>
      </c>
    </row>
    <row r="17" spans="2:13" ht="61" customHeight="1">
      <c r="B17" s="898" t="s">
        <v>200</v>
      </c>
      <c r="C17" s="861" t="s">
        <v>328</v>
      </c>
      <c r="D17" s="861" t="s">
        <v>994</v>
      </c>
      <c r="E17" s="862" t="s">
        <v>1131</v>
      </c>
      <c r="F17" s="863" t="s">
        <v>329</v>
      </c>
      <c r="G17" s="892" t="s">
        <v>984</v>
      </c>
      <c r="H17" s="1085" t="s">
        <v>991</v>
      </c>
    </row>
    <row r="18" spans="2:13" ht="73.5" customHeight="1">
      <c r="B18" s="899" t="s">
        <v>330</v>
      </c>
      <c r="C18" s="714" t="s">
        <v>331</v>
      </c>
      <c r="D18" s="711" t="s">
        <v>1069</v>
      </c>
      <c r="E18" s="712" t="s">
        <v>332</v>
      </c>
      <c r="F18" s="713" t="s">
        <v>333</v>
      </c>
      <c r="G18" s="893" t="s">
        <v>248</v>
      </c>
      <c r="H18" s="1086" t="s">
        <v>1072</v>
      </c>
      <c r="L18" s="538"/>
    </row>
    <row r="19" spans="2:13" ht="33.5" customHeight="1">
      <c r="B19" s="899" t="s">
        <v>110</v>
      </c>
      <c r="C19" s="711" t="s">
        <v>334</v>
      </c>
      <c r="D19" s="711" t="s">
        <v>988</v>
      </c>
      <c r="E19" s="712" t="s">
        <v>335</v>
      </c>
      <c r="F19" s="713" t="s">
        <v>336</v>
      </c>
      <c r="G19" s="893" t="s">
        <v>248</v>
      </c>
      <c r="H19" s="1086" t="s">
        <v>1003</v>
      </c>
    </row>
    <row r="20" spans="2:13" ht="57" customHeight="1">
      <c r="B20" s="1348" t="s">
        <v>337</v>
      </c>
      <c r="C20" s="709" t="s">
        <v>338</v>
      </c>
      <c r="D20" s="709" t="s">
        <v>338</v>
      </c>
      <c r="E20" s="715"/>
      <c r="F20" s="708" t="s">
        <v>339</v>
      </c>
      <c r="G20" s="894"/>
      <c r="H20" s="1087" t="s">
        <v>960</v>
      </c>
    </row>
    <row r="21" spans="2:13" ht="37" customHeight="1">
      <c r="B21" s="1349"/>
      <c r="C21" s="1351" t="s">
        <v>1067</v>
      </c>
      <c r="D21" s="1351" t="s">
        <v>1109</v>
      </c>
      <c r="E21" s="557"/>
      <c r="F21" s="700" t="s">
        <v>340</v>
      </c>
      <c r="G21" s="841" t="s">
        <v>1000</v>
      </c>
      <c r="H21" s="1352" t="s">
        <v>992</v>
      </c>
      <c r="M21" s="533"/>
    </row>
    <row r="22" spans="2:13" ht="34.5" customHeight="1">
      <c r="B22" s="1349"/>
      <c r="C22" s="1351"/>
      <c r="D22" s="1351"/>
      <c r="E22" s="557"/>
      <c r="F22" s="700"/>
      <c r="G22" s="895" t="s">
        <v>999</v>
      </c>
      <c r="H22" s="1352"/>
      <c r="M22" s="533"/>
    </row>
    <row r="23" spans="2:13" ht="26.5" customHeight="1">
      <c r="B23" s="1349"/>
      <c r="C23" s="1351" t="s">
        <v>341</v>
      </c>
      <c r="D23" s="1351" t="s">
        <v>996</v>
      </c>
      <c r="E23" s="557"/>
      <c r="F23" s="700" t="s">
        <v>342</v>
      </c>
      <c r="G23" s="896" t="s">
        <v>997</v>
      </c>
      <c r="H23" s="1352" t="s">
        <v>982</v>
      </c>
    </row>
    <row r="24" spans="2:13" ht="26.5" customHeight="1">
      <c r="B24" s="1349"/>
      <c r="C24" s="1351"/>
      <c r="D24" s="1351"/>
      <c r="E24" s="557"/>
      <c r="F24" s="700"/>
      <c r="G24" s="895" t="s">
        <v>929</v>
      </c>
      <c r="H24" s="1352"/>
    </row>
    <row r="25" spans="2:13" ht="37.5" customHeight="1">
      <c r="B25" s="1349"/>
      <c r="C25" s="697" t="s">
        <v>343</v>
      </c>
      <c r="D25" s="697" t="s">
        <v>344</v>
      </c>
      <c r="E25" s="557"/>
      <c r="F25" s="698" t="s">
        <v>345</v>
      </c>
      <c r="G25" s="838" t="s">
        <v>983</v>
      </c>
      <c r="H25" s="1083" t="s">
        <v>985</v>
      </c>
    </row>
    <row r="26" spans="2:13" ht="46.5" customHeight="1">
      <c r="B26" s="1350"/>
      <c r="C26" s="710" t="s">
        <v>1068</v>
      </c>
      <c r="D26" s="710" t="s">
        <v>993</v>
      </c>
      <c r="E26" s="716"/>
      <c r="F26" s="717" t="s">
        <v>346</v>
      </c>
      <c r="G26" s="897"/>
      <c r="H26" s="1088" t="s">
        <v>961</v>
      </c>
    </row>
    <row r="27" spans="2:13">
      <c r="E27" s="465"/>
      <c r="H27" s="883"/>
    </row>
    <row r="28" spans="2:13">
      <c r="E28" s="465"/>
    </row>
  </sheetData>
  <sheetProtection algorithmName="SHA-512" hashValue="4bwmP1gPeKbBVRe2/kbl0sD1mLu9aiCFaaJ8UKAul7nxEtlvg+Ch/iiKZzWCnnMmxtnFEjQ0YMK9mW7SK8o7YQ==" saltValue="NsgzRNjLnmJwBvhnmw2jkw==" spinCount="100000" sheet="1" objects="1" scenarios="1"/>
  <mergeCells count="11">
    <mergeCell ref="H23:H24"/>
    <mergeCell ref="C21:C22"/>
    <mergeCell ref="D21:D22"/>
    <mergeCell ref="H21:H22"/>
    <mergeCell ref="C8:C11"/>
    <mergeCell ref="B8:B16"/>
    <mergeCell ref="F8:F11"/>
    <mergeCell ref="B20:B26"/>
    <mergeCell ref="B2:F2"/>
    <mergeCell ref="C23:C24"/>
    <mergeCell ref="D23:D24"/>
  </mergeCells>
  <hyperlinks>
    <hyperlink ref="G17" r:id="rId1" display="https://matthey.com/contact-us?assetCategoryIds=&amp;sort=ddm__keyword__232321__Country" xr:uid="{90784D5D-E25B-480A-B107-1751B6F184AB}"/>
    <hyperlink ref="G24" r:id="rId2" xr:uid="{56E27788-FCB8-4905-9EE0-9BB306062DAD}"/>
    <hyperlink ref="G22" r:id="rId3" xr:uid="{EC01C020-7808-4B6D-AB2F-7636701D8CA0}"/>
  </hyperlinks>
  <pageMargins left="0.70866141732283472" right="0.70866141732283472" top="0.74803149606299213" bottom="0.74803149606299213" header="0.31496062992125984" footer="0.31496062992125984"/>
  <pageSetup paperSize="9" scale="62" orientation="landscape" r:id="rId4"/>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E31B1-9825-4F97-BC0C-F2FCDDCD4F9E}">
  <sheetPr>
    <pageSetUpPr fitToPage="1"/>
  </sheetPr>
  <dimension ref="A2:H45"/>
  <sheetViews>
    <sheetView zoomScale="80" zoomScaleNormal="80" workbookViewId="0"/>
  </sheetViews>
  <sheetFormatPr defaultColWidth="8.81640625" defaultRowHeight="13.5"/>
  <cols>
    <col min="1" max="1" width="5.1796875" style="497" customWidth="1"/>
    <col min="2" max="2" width="99.6328125" style="3" customWidth="1"/>
    <col min="3" max="3" width="44.08984375" style="3" customWidth="1"/>
    <col min="4" max="4" width="52.6328125" style="3" customWidth="1"/>
    <col min="5" max="5" width="12" style="3" bestFit="1" customWidth="1"/>
    <col min="6" max="6" width="6.08984375" style="3" hidden="1" customWidth="1"/>
    <col min="7" max="7" width="4.81640625" style="3" hidden="1" customWidth="1"/>
    <col min="8" max="8" width="7.1796875" style="3" hidden="1" customWidth="1"/>
    <col min="9" max="9" width="8.81640625" style="3" bestFit="1" customWidth="1"/>
    <col min="10" max="16384" width="8.81640625" style="3"/>
  </cols>
  <sheetData>
    <row r="2" spans="2:8" ht="23" customHeight="1">
      <c r="B2" s="1356" t="s">
        <v>347</v>
      </c>
      <c r="C2" s="1356"/>
      <c r="D2" s="1356"/>
      <c r="E2" s="703"/>
      <c r="F2" s="703"/>
      <c r="G2" s="703"/>
      <c r="H2" s="703"/>
    </row>
    <row r="3" spans="2:8" ht="14.15" customHeight="1">
      <c r="B3" s="466"/>
      <c r="C3" s="466"/>
      <c r="D3" s="466"/>
      <c r="E3" s="466"/>
      <c r="F3" s="466"/>
      <c r="G3" s="466"/>
      <c r="H3" s="466"/>
    </row>
    <row r="4" spans="2:8" ht="45" customHeight="1">
      <c r="B4" s="1355" t="s">
        <v>1159</v>
      </c>
      <c r="C4" s="1355"/>
      <c r="D4" s="1355"/>
      <c r="E4" s="498"/>
      <c r="F4" s="498"/>
      <c r="G4" s="498"/>
      <c r="H4" s="498"/>
    </row>
    <row r="5" spans="2:8" ht="14.5" customHeight="1">
      <c r="B5" s="466"/>
      <c r="C5" s="466"/>
      <c r="D5" s="466"/>
      <c r="E5" s="498"/>
      <c r="F5" s="499"/>
      <c r="G5" s="499"/>
      <c r="H5" s="499"/>
    </row>
    <row r="6" spans="2:8">
      <c r="B6" s="1100" t="s">
        <v>348</v>
      </c>
      <c r="C6" s="1101" t="s">
        <v>349</v>
      </c>
      <c r="D6" s="1102" t="s">
        <v>350</v>
      </c>
      <c r="E6" s="498"/>
      <c r="F6" s="500"/>
      <c r="G6" s="500"/>
      <c r="H6" s="500"/>
    </row>
    <row r="7" spans="2:8" ht="17">
      <c r="B7" s="760" t="s">
        <v>351</v>
      </c>
      <c r="C7" s="621" t="s">
        <v>1154</v>
      </c>
      <c r="D7" s="1091">
        <f>'Environment (original)'!E10</f>
        <v>233300</v>
      </c>
      <c r="E7" s="498"/>
      <c r="F7" s="501">
        <v>233300</v>
      </c>
      <c r="G7" s="502">
        <v>233300</v>
      </c>
      <c r="H7" s="500"/>
    </row>
    <row r="8" spans="2:8" ht="17">
      <c r="B8" s="760" t="s">
        <v>352</v>
      </c>
      <c r="C8" s="621" t="s">
        <v>1154</v>
      </c>
      <c r="D8" s="1091">
        <f>'Environment (original)'!E11</f>
        <v>130386</v>
      </c>
      <c r="E8" s="498"/>
      <c r="F8" s="501">
        <v>130386</v>
      </c>
      <c r="G8" s="502">
        <v>130386</v>
      </c>
      <c r="H8" s="500"/>
    </row>
    <row r="9" spans="2:8" ht="17">
      <c r="B9" s="760" t="s">
        <v>353</v>
      </c>
      <c r="C9" s="621" t="s">
        <v>1154</v>
      </c>
      <c r="D9" s="1091">
        <f>'Environment (original)'!E12</f>
        <v>204848</v>
      </c>
      <c r="E9" s="498"/>
      <c r="F9" s="501">
        <v>204848</v>
      </c>
      <c r="G9" s="502">
        <v>204848</v>
      </c>
      <c r="H9" s="500"/>
    </row>
    <row r="10" spans="2:8" ht="17">
      <c r="B10" s="760" t="s">
        <v>354</v>
      </c>
      <c r="C10" s="621" t="s">
        <v>1154</v>
      </c>
      <c r="D10" s="1091">
        <f>'Environment (original)'!E13</f>
        <v>363686</v>
      </c>
      <c r="E10" s="498"/>
      <c r="F10" s="501">
        <v>363686</v>
      </c>
      <c r="G10" s="502">
        <v>363686</v>
      </c>
      <c r="H10" s="500"/>
    </row>
    <row r="11" spans="2:8" ht="17">
      <c r="B11" s="760" t="s">
        <v>355</v>
      </c>
      <c r="C11" s="621" t="s">
        <v>1155</v>
      </c>
      <c r="D11" s="1092">
        <f>'Environment (original)'!E15</f>
        <v>3.4</v>
      </c>
      <c r="E11" s="498"/>
      <c r="F11" s="503">
        <v>3.4</v>
      </c>
      <c r="G11" s="504">
        <v>3.4</v>
      </c>
      <c r="H11" s="500"/>
    </row>
    <row r="12" spans="2:8" ht="15">
      <c r="B12" s="760" t="s">
        <v>356</v>
      </c>
      <c r="C12" s="621" t="s">
        <v>357</v>
      </c>
      <c r="D12" s="1093">
        <f>'Environment (original)'!O15</f>
        <v>-8.1081081081081155E-2</v>
      </c>
      <c r="E12" s="498"/>
      <c r="F12" s="505">
        <v>-8.1081081081081155E-2</v>
      </c>
      <c r="G12" s="506">
        <v>-0.08</v>
      </c>
      <c r="H12" s="500"/>
    </row>
    <row r="13" spans="2:8" ht="17">
      <c r="B13" s="760" t="s">
        <v>358</v>
      </c>
      <c r="C13" s="621" t="s">
        <v>1154</v>
      </c>
      <c r="D13" s="1091">
        <f>'Environment (original)'!E20</f>
        <v>41018</v>
      </c>
      <c r="E13" s="498"/>
      <c r="F13" s="501">
        <v>41018</v>
      </c>
      <c r="G13" s="502">
        <v>41018</v>
      </c>
      <c r="H13" s="500"/>
    </row>
    <row r="14" spans="2:8" ht="15">
      <c r="B14" s="760" t="s">
        <v>359</v>
      </c>
      <c r="C14" s="621" t="s">
        <v>360</v>
      </c>
      <c r="D14" s="1094">
        <f>'Environment (original)'!E111</f>
        <v>1185612.237</v>
      </c>
      <c r="E14" s="498"/>
      <c r="F14" s="507">
        <v>1185612.237</v>
      </c>
      <c r="G14" s="502">
        <v>1185612</v>
      </c>
      <c r="H14" s="500"/>
    </row>
    <row r="15" spans="2:8" ht="15">
      <c r="B15" s="869" t="s">
        <v>361</v>
      </c>
      <c r="C15" s="869" t="s">
        <v>362</v>
      </c>
      <c r="D15" s="1091">
        <f>'Environment (original)'!E130</f>
        <v>986948044</v>
      </c>
      <c r="E15" s="498"/>
      <c r="F15" s="501">
        <v>986948044</v>
      </c>
      <c r="G15" s="502">
        <v>986948044</v>
      </c>
      <c r="H15" s="500"/>
    </row>
    <row r="16" spans="2:8" ht="15">
      <c r="B16" s="869" t="s">
        <v>363</v>
      </c>
      <c r="C16" s="869" t="s">
        <v>362</v>
      </c>
      <c r="D16" s="1091">
        <f>'Environment (original)'!E135</f>
        <v>198664193</v>
      </c>
      <c r="E16" s="498"/>
      <c r="F16" s="501">
        <v>198664193</v>
      </c>
      <c r="G16" s="502">
        <v>198664193</v>
      </c>
      <c r="H16" s="500"/>
    </row>
    <row r="17" spans="2:8" ht="15">
      <c r="B17" s="760" t="s">
        <v>364</v>
      </c>
      <c r="C17" s="621" t="s">
        <v>357</v>
      </c>
      <c r="D17" s="1095">
        <f>'Environment (original)'!E137</f>
        <v>0.41015331242742104</v>
      </c>
      <c r="E17" s="498"/>
      <c r="F17" s="508">
        <v>0.41015331242742104</v>
      </c>
      <c r="G17" s="506">
        <v>0.41</v>
      </c>
      <c r="H17" s="500"/>
    </row>
    <row r="18" spans="2:8" ht="17">
      <c r="B18" s="870" t="s">
        <v>365</v>
      </c>
      <c r="C18" s="869" t="s">
        <v>1098</v>
      </c>
      <c r="D18" s="1091">
        <f>'Environment (original)'!E18</f>
        <v>2495475</v>
      </c>
      <c r="E18" s="498"/>
      <c r="F18" s="501">
        <v>2495475</v>
      </c>
      <c r="G18" s="502">
        <v>2495475</v>
      </c>
      <c r="H18" s="500"/>
    </row>
    <row r="19" spans="2:8" ht="16.5">
      <c r="B19" s="621" t="s">
        <v>366</v>
      </c>
      <c r="C19" s="621" t="s">
        <v>1156</v>
      </c>
      <c r="D19" s="1091">
        <f>'Environment (original)'!E52</f>
        <v>1800878</v>
      </c>
      <c r="E19" s="498"/>
      <c r="F19" s="501">
        <v>1800878</v>
      </c>
      <c r="G19" s="502">
        <v>1800878</v>
      </c>
      <c r="H19" s="500"/>
    </row>
    <row r="20" spans="2:8" ht="16.5">
      <c r="B20" s="760" t="s">
        <v>367</v>
      </c>
      <c r="C20" s="621" t="s">
        <v>1156</v>
      </c>
      <c r="D20" s="1091">
        <f>'Environment (original)'!E54</f>
        <v>48993</v>
      </c>
      <c r="E20" s="498"/>
      <c r="F20" s="501">
        <v>48993</v>
      </c>
      <c r="G20" s="502">
        <v>48993</v>
      </c>
      <c r="H20" s="500"/>
    </row>
    <row r="21" spans="2:8" ht="16.5">
      <c r="B21" s="760" t="s">
        <v>368</v>
      </c>
      <c r="C21" s="760" t="s">
        <v>1157</v>
      </c>
      <c r="D21" s="1091">
        <f>'Environment (original)'!E56</f>
        <v>1751.885</v>
      </c>
      <c r="E21" s="498"/>
      <c r="F21" s="501">
        <v>1751.885</v>
      </c>
      <c r="G21" s="502">
        <v>1752</v>
      </c>
      <c r="H21" s="500"/>
    </row>
    <row r="22" spans="2:8" ht="15">
      <c r="B22" s="621" t="s">
        <v>369</v>
      </c>
      <c r="C22" s="621" t="s">
        <v>370</v>
      </c>
      <c r="D22" s="1092">
        <f>'Environment (original)'!E62</f>
        <v>242</v>
      </c>
      <c r="E22" s="498"/>
      <c r="F22" s="503">
        <v>242</v>
      </c>
      <c r="G22" s="504">
        <v>242</v>
      </c>
      <c r="H22" s="500"/>
    </row>
    <row r="23" spans="2:8" ht="15">
      <c r="B23" s="870" t="s">
        <v>371</v>
      </c>
      <c r="C23" s="870" t="s">
        <v>357</v>
      </c>
      <c r="D23" s="1093">
        <f>'Environment (original)'!E63</f>
        <v>0.75</v>
      </c>
      <c r="E23" s="498"/>
      <c r="F23" s="505">
        <v>0.75</v>
      </c>
      <c r="G23" s="506">
        <v>0.75</v>
      </c>
      <c r="H23" s="500"/>
    </row>
    <row r="24" spans="2:8" ht="16.5">
      <c r="B24" s="870" t="s">
        <v>372</v>
      </c>
      <c r="C24" s="760" t="s">
        <v>1157</v>
      </c>
      <c r="D24" s="1096">
        <f>'Environment (original)'!E58</f>
        <v>399.17399999999998</v>
      </c>
      <c r="E24" s="498"/>
      <c r="F24" s="509">
        <v>399.17399999999998</v>
      </c>
      <c r="G24" s="504">
        <v>399</v>
      </c>
      <c r="H24" s="500"/>
    </row>
    <row r="25" spans="2:8" ht="15">
      <c r="B25" s="869" t="s">
        <v>373</v>
      </c>
      <c r="C25" s="869" t="s">
        <v>374</v>
      </c>
      <c r="D25" s="1097">
        <f>'Environment (original)'!E72</f>
        <v>62885.399999999994</v>
      </c>
      <c r="E25" s="498"/>
      <c r="F25" s="507">
        <v>62885.399999999994</v>
      </c>
      <c r="G25" s="502">
        <v>62885</v>
      </c>
      <c r="H25" s="500"/>
    </row>
    <row r="26" spans="2:8" ht="15">
      <c r="B26" s="870" t="s">
        <v>375</v>
      </c>
      <c r="C26" s="870" t="s">
        <v>374</v>
      </c>
      <c r="D26" s="1097">
        <f>'Environment (original)'!E83</f>
        <v>4347</v>
      </c>
      <c r="E26" s="498"/>
      <c r="F26" s="507">
        <v>4347</v>
      </c>
      <c r="G26" s="502">
        <v>4347</v>
      </c>
      <c r="H26" s="500"/>
    </row>
    <row r="27" spans="2:8" ht="15">
      <c r="B27" s="870" t="s">
        <v>376</v>
      </c>
      <c r="C27" s="870" t="s">
        <v>374</v>
      </c>
      <c r="D27" s="1097">
        <f>'Environment (original)'!E97</f>
        <v>4369</v>
      </c>
      <c r="E27" s="498"/>
      <c r="F27" s="507">
        <v>4369</v>
      </c>
      <c r="G27" s="502">
        <v>4369</v>
      </c>
      <c r="H27" s="500"/>
    </row>
    <row r="28" spans="2:8" ht="15">
      <c r="B28" s="870" t="s">
        <v>377</v>
      </c>
      <c r="C28" s="870" t="s">
        <v>374</v>
      </c>
      <c r="D28" s="1097">
        <f>'Environment (original)'!E94</f>
        <v>17307</v>
      </c>
      <c r="E28" s="498"/>
      <c r="F28" s="507">
        <v>17307</v>
      </c>
      <c r="G28" s="502">
        <v>17307</v>
      </c>
      <c r="H28" s="500"/>
    </row>
    <row r="29" spans="2:8" ht="15">
      <c r="B29" s="870" t="s">
        <v>378</v>
      </c>
      <c r="C29" s="870" t="s">
        <v>374</v>
      </c>
      <c r="D29" s="1097">
        <f>'Environment (original)'!E95+'Environment (original)'!E96</f>
        <v>12938</v>
      </c>
      <c r="E29" s="498"/>
      <c r="F29" s="507">
        <v>12938</v>
      </c>
      <c r="G29" s="502">
        <v>12938</v>
      </c>
      <c r="H29" s="500"/>
    </row>
    <row r="30" spans="2:8" ht="15">
      <c r="B30" s="870" t="s">
        <v>379</v>
      </c>
      <c r="C30" s="870" t="s">
        <v>374</v>
      </c>
      <c r="D30" s="1097">
        <f>'Environment (original)'!E71</f>
        <v>41859.699999999997</v>
      </c>
      <c r="E30" s="498"/>
      <c r="F30" s="507">
        <v>41859.699999999997</v>
      </c>
      <c r="G30" s="502">
        <v>41860</v>
      </c>
      <c r="H30" s="500"/>
    </row>
    <row r="31" spans="2:8" ht="15">
      <c r="B31" s="870" t="s">
        <v>380</v>
      </c>
      <c r="C31" s="870" t="s">
        <v>374</v>
      </c>
      <c r="D31" s="1098">
        <f>'Environment (original)'!E100</f>
        <v>336</v>
      </c>
      <c r="E31" s="498"/>
      <c r="F31" s="507">
        <v>336</v>
      </c>
      <c r="G31" s="504">
        <v>336</v>
      </c>
      <c r="H31" s="500"/>
    </row>
    <row r="32" spans="2:8" ht="15">
      <c r="B32" s="870" t="s">
        <v>381</v>
      </c>
      <c r="C32" s="870" t="s">
        <v>374</v>
      </c>
      <c r="D32" s="1098">
        <f>'Environment (original)'!E101</f>
        <v>31</v>
      </c>
      <c r="E32" s="498"/>
      <c r="F32" s="507">
        <v>31</v>
      </c>
      <c r="G32" s="504">
        <v>31</v>
      </c>
      <c r="H32" s="500"/>
    </row>
    <row r="33" spans="2:8" ht="15">
      <c r="B33" s="870" t="s">
        <v>382</v>
      </c>
      <c r="C33" s="870" t="s">
        <v>374</v>
      </c>
      <c r="D33" s="1098">
        <f>'Environment (original)'!E102</f>
        <v>42</v>
      </c>
      <c r="E33" s="498"/>
      <c r="F33" s="507">
        <v>42</v>
      </c>
      <c r="G33" s="504">
        <v>42</v>
      </c>
      <c r="H33" s="500"/>
    </row>
    <row r="34" spans="2:8" ht="15">
      <c r="B34" s="870" t="s">
        <v>383</v>
      </c>
      <c r="C34" s="870" t="s">
        <v>357</v>
      </c>
      <c r="D34" s="1095">
        <f>'Environment (original)'!E103</f>
        <v>0.86</v>
      </c>
      <c r="E34" s="498"/>
      <c r="F34" s="508">
        <v>0.86</v>
      </c>
      <c r="G34" s="506">
        <v>0.86</v>
      </c>
      <c r="H34" s="500"/>
    </row>
    <row r="35" spans="2:8" ht="15">
      <c r="B35" s="870" t="s">
        <v>384</v>
      </c>
      <c r="C35" s="870" t="s">
        <v>357</v>
      </c>
      <c r="D35" s="1095">
        <f>'Environment (original)'!E104</f>
        <v>0.36</v>
      </c>
      <c r="E35" s="498"/>
      <c r="F35" s="508">
        <v>0.36</v>
      </c>
      <c r="G35" s="506">
        <v>0.36</v>
      </c>
      <c r="H35" s="500"/>
    </row>
    <row r="36" spans="2:8" ht="15">
      <c r="B36" s="870" t="s">
        <v>385</v>
      </c>
      <c r="C36" s="870" t="s">
        <v>357</v>
      </c>
      <c r="D36" s="1095">
        <f>'Environment (original)'!E105</f>
        <v>0.56999999999999995</v>
      </c>
      <c r="E36" s="498"/>
      <c r="F36" s="508">
        <v>0.56999999999999995</v>
      </c>
      <c r="G36" s="506">
        <v>0.56999999999999995</v>
      </c>
      <c r="H36" s="500"/>
    </row>
    <row r="37" spans="2:8" ht="15">
      <c r="B37" s="869" t="s">
        <v>386</v>
      </c>
      <c r="C37" s="869" t="s">
        <v>387</v>
      </c>
      <c r="D37" s="1092">
        <f>'Health and Safety'!D9</f>
        <v>1.1599999999999999</v>
      </c>
      <c r="E37" s="498"/>
      <c r="F37" s="503">
        <v>1.1599999999999999</v>
      </c>
      <c r="G37" s="504">
        <v>1.1599999999999999</v>
      </c>
      <c r="H37" s="500"/>
    </row>
    <row r="38" spans="2:8" ht="15">
      <c r="B38" s="869" t="s">
        <v>388</v>
      </c>
      <c r="C38" s="869" t="s">
        <v>387</v>
      </c>
      <c r="D38" s="1092">
        <f>'Health and Safety'!E9</f>
        <v>1.37</v>
      </c>
      <c r="E38" s="498"/>
      <c r="F38" s="503">
        <v>1.37</v>
      </c>
      <c r="G38" s="504">
        <v>1.37</v>
      </c>
      <c r="H38" s="500"/>
    </row>
    <row r="39" spans="2:8" ht="15">
      <c r="B39" s="621" t="s">
        <v>389</v>
      </c>
      <c r="C39" s="621" t="s">
        <v>387</v>
      </c>
      <c r="D39" s="1092">
        <f>'Health and Safety'!D11</f>
        <v>0.08</v>
      </c>
      <c r="E39" s="498"/>
      <c r="F39" s="503">
        <v>0.08</v>
      </c>
      <c r="G39" s="504">
        <v>0.08</v>
      </c>
      <c r="H39" s="500"/>
    </row>
    <row r="40" spans="2:8" ht="15">
      <c r="B40" s="621" t="s">
        <v>390</v>
      </c>
      <c r="C40" s="621" t="s">
        <v>391</v>
      </c>
      <c r="D40" s="1099">
        <f>'Health and Safety'!D27</f>
        <v>0.29599999999999999</v>
      </c>
      <c r="E40" s="498"/>
      <c r="F40" s="510">
        <v>0.29599999999999999</v>
      </c>
      <c r="G40" s="504">
        <v>0.3</v>
      </c>
      <c r="H40" s="500"/>
    </row>
    <row r="41" spans="2:8" ht="15">
      <c r="B41" s="621" t="s">
        <v>392</v>
      </c>
      <c r="C41" s="621" t="s">
        <v>393</v>
      </c>
      <c r="D41" s="1092">
        <f>'Health and Safety'!D22</f>
        <v>0.47</v>
      </c>
      <c r="E41" s="498"/>
      <c r="F41" s="503">
        <v>0.47</v>
      </c>
      <c r="G41" s="504">
        <v>0.47</v>
      </c>
      <c r="H41" s="500"/>
    </row>
    <row r="42" spans="2:8" ht="15">
      <c r="B42" s="870" t="s">
        <v>394</v>
      </c>
      <c r="C42" s="870" t="s">
        <v>395</v>
      </c>
      <c r="D42" s="1099">
        <f>'Health and Safety'!D25</f>
        <v>1.0149999999999999</v>
      </c>
      <c r="E42" s="498"/>
      <c r="F42" s="510">
        <v>1.0149999999999999</v>
      </c>
      <c r="G42" s="504">
        <v>1.02</v>
      </c>
      <c r="H42" s="500"/>
    </row>
    <row r="43" spans="2:8" ht="36" hidden="1" customHeight="1">
      <c r="D43" s="467">
        <f>SUM(D7:D42)</f>
        <v>1192262952.0560722</v>
      </c>
      <c r="E43" s="498"/>
      <c r="F43" s="501">
        <f>SUM(F7:F42)</f>
        <v>1192262952.0560722</v>
      </c>
      <c r="G43" s="501">
        <f>SUM(G7:G42)</f>
        <v>1192262951.6699998</v>
      </c>
      <c r="H43" s="500"/>
    </row>
    <row r="44" spans="2:8">
      <c r="E44" s="498"/>
      <c r="F44" s="501">
        <f>F43-G43</f>
        <v>0.38607239723205566</v>
      </c>
      <c r="G44" s="503"/>
      <c r="H44" s="500"/>
    </row>
    <row r="45" spans="2:8">
      <c r="E45" s="498"/>
      <c r="F45" s="500"/>
      <c r="G45" s="500"/>
      <c r="H45" s="500"/>
    </row>
  </sheetData>
  <sheetProtection algorithmName="SHA-512" hashValue="ABMd5JOpw3aupv6ppQS84FQnVpQblqRC8OqMAvyigpPBDJLRvIpMSgU8nZ7A0TyD6i0VcfpKPrzP/XV9qExA3A==" saltValue="g4kX8PgvgbpRq4Nza2xm8A==" spinCount="100000" sheet="1" objects="1" scenarios="1"/>
  <mergeCells count="2">
    <mergeCell ref="B4:D4"/>
    <mergeCell ref="B2:D2"/>
  </mergeCells>
  <pageMargins left="0.23622047244094491" right="0.23622047244094491" top="0.74803149606299213" bottom="0.74803149606299213" header="0.31496062992125984" footer="0.31496062992125984"/>
  <pageSetup paperSize="9" scale="7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CD48B57C0618A489237E8693E56F43B" ma:contentTypeVersion="14" ma:contentTypeDescription="Create a new document." ma:contentTypeScope="" ma:versionID="2a73a7fec685b2b790b1ca1ed7027259">
  <xsd:schema xmlns:xsd="http://www.w3.org/2001/XMLSchema" xmlns:xs="http://www.w3.org/2001/XMLSchema" xmlns:p="http://schemas.microsoft.com/office/2006/metadata/properties" xmlns:ns2="734f98fa-5aff-4ac4-b37a-9d67e3249c61" xmlns:ns3="0b0a207c-90b5-4378-94d2-06ee2ede61af" targetNamespace="http://schemas.microsoft.com/office/2006/metadata/properties" ma:root="true" ma:fieldsID="9c9083f7a5a300d90e4e43a57d71fd7a" ns2:_="" ns3:_="">
    <xsd:import namespace="734f98fa-5aff-4ac4-b37a-9d67e3249c61"/>
    <xsd:import namespace="0b0a207c-90b5-4378-94d2-06ee2ede61a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4f98fa-5aff-4ac4-b37a-9d67e3249c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99f579ce-fdda-4824-a47d-a5db31f0c886"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b0a207c-90b5-4378-94d2-06ee2ede61a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34f98fa-5aff-4ac4-b37a-9d67e3249c61">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26AB130-F154-4F65-B4A8-CFE26EEA2FCC}"/>
</file>

<file path=customXml/itemProps2.xml><?xml version="1.0" encoding="utf-8"?>
<ds:datastoreItem xmlns:ds="http://schemas.openxmlformats.org/officeDocument/2006/customXml" ds:itemID="{62E1BA9B-8476-4E9B-98B4-E64B30113A62}">
  <ds:schemaRefs>
    <ds:schemaRef ds:uri="http://schemas.openxmlformats.org/package/2006/metadata/core-properties"/>
    <ds:schemaRef ds:uri="http://www.w3.org/XML/1998/namespace"/>
    <ds:schemaRef ds:uri="a5369fd3-eddb-48fd-950b-93df47e9052b"/>
    <ds:schemaRef ds:uri="http://purl.org/dc/elements/1.1/"/>
    <ds:schemaRef ds:uri="http://schemas.microsoft.com/office/2006/metadata/properties"/>
    <ds:schemaRef ds:uri="http://purl.org/dc/terms/"/>
    <ds:schemaRef ds:uri="http://schemas.microsoft.com/office/infopath/2007/PartnerControls"/>
    <ds:schemaRef ds:uri="http://purl.org/dc/dcmitype/"/>
    <ds:schemaRef ds:uri="http://schemas.microsoft.com/office/2006/documentManagement/types"/>
    <ds:schemaRef ds:uri="d4a94703-576d-4fee-a704-618adcd27865"/>
    <ds:schemaRef ds:uri="27d10c27-944e-4f56-87f3-a25872dbcf19"/>
    <ds:schemaRef ds:uri="734f98fa-5aff-4ac4-b37a-9d67e3249c61"/>
  </ds:schemaRefs>
</ds:datastoreItem>
</file>

<file path=customXml/itemProps3.xml><?xml version="1.0" encoding="utf-8"?>
<ds:datastoreItem xmlns:ds="http://schemas.openxmlformats.org/officeDocument/2006/customXml" ds:itemID="{47EAA61E-8633-454A-9578-38005D3BD72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16</vt:i4>
      </vt:variant>
    </vt:vector>
  </HeadingPairs>
  <TitlesOfParts>
    <vt:vector size="35" baseType="lpstr">
      <vt:lpstr>Cover</vt:lpstr>
      <vt:lpstr>Home</vt:lpstr>
      <vt:lpstr>Contents</vt:lpstr>
      <vt:lpstr>Material Topics</vt:lpstr>
      <vt:lpstr>GRI Content index in accordance</vt:lpstr>
      <vt:lpstr>SASB Index</vt:lpstr>
      <vt:lpstr>TCFD Compliance Table</vt:lpstr>
      <vt:lpstr>PAI statement</vt:lpstr>
      <vt:lpstr>ERM CVS Audited metrics</vt:lpstr>
      <vt:lpstr>2030 targets</vt:lpstr>
      <vt:lpstr>Environment (pre-divest Data)</vt:lpstr>
      <vt:lpstr>Environment</vt:lpstr>
      <vt:lpstr>People</vt:lpstr>
      <vt:lpstr>Health and Safety</vt:lpstr>
      <vt:lpstr>Ethics and Compliance</vt:lpstr>
      <vt:lpstr>Community Investment</vt:lpstr>
      <vt:lpstr>Responsible Sourcing</vt:lpstr>
      <vt:lpstr>Environment (original)</vt:lpstr>
      <vt:lpstr>People (Internal)</vt:lpstr>
      <vt:lpstr>'2030 targets'!Print_Area</vt:lpstr>
      <vt:lpstr>'Community Investment'!Print_Area</vt:lpstr>
      <vt:lpstr>Contents!Print_Area</vt:lpstr>
      <vt:lpstr>Cover!Print_Area</vt:lpstr>
      <vt:lpstr>Environment!Print_Area</vt:lpstr>
      <vt:lpstr>'ERM CVS Audited metrics'!Print_Area</vt:lpstr>
      <vt:lpstr>'Ethics and Compliance'!Print_Area</vt:lpstr>
      <vt:lpstr>'GRI Content index in accordance'!Print_Area</vt:lpstr>
      <vt:lpstr>'Health and Safety'!Print_Area</vt:lpstr>
      <vt:lpstr>Home!Print_Area</vt:lpstr>
      <vt:lpstr>'Material Topics'!Print_Area</vt:lpstr>
      <vt:lpstr>'PAI statement'!Print_Area</vt:lpstr>
      <vt:lpstr>People!Print_Area</vt:lpstr>
      <vt:lpstr>'Responsible Sourcing'!Print_Area</vt:lpstr>
      <vt:lpstr>'SASB Index'!Print_Area</vt:lpstr>
      <vt:lpstr>'TCFD Compliance Table'!Print_Area</vt:lpstr>
    </vt:vector>
  </TitlesOfParts>
  <Manager/>
  <Company>BNP Paribas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Katie Gayner</dc:creator>
  <cp:keywords/>
  <dc:description/>
  <cp:lastModifiedBy>Xin Ngfat</cp:lastModifiedBy>
  <cp:revision/>
  <cp:lastPrinted>2023-06-09T13:27:26Z</cp:lastPrinted>
  <dcterms:created xsi:type="dcterms:W3CDTF">2022-08-26T08:41:21Z</dcterms:created>
  <dcterms:modified xsi:type="dcterms:W3CDTF">2023-07-06T15:40:36Z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ffbc0b8-e97b-47d1-beac-cb0955d66f3b_Enabled">
    <vt:lpwstr>true</vt:lpwstr>
  </property>
  <property fmtid="{D5CDD505-2E9C-101B-9397-08002B2CF9AE}" pid="3" name="MSIP_Label_8ffbc0b8-e97b-47d1-beac-cb0955d66f3b_SetDate">
    <vt:lpwstr>2022-08-30T17:25:58Z</vt:lpwstr>
  </property>
  <property fmtid="{D5CDD505-2E9C-101B-9397-08002B2CF9AE}" pid="4" name="MSIP_Label_8ffbc0b8-e97b-47d1-beac-cb0955d66f3b_Method">
    <vt:lpwstr>Standard</vt:lpwstr>
  </property>
  <property fmtid="{D5CDD505-2E9C-101B-9397-08002B2CF9AE}" pid="5" name="MSIP_Label_8ffbc0b8-e97b-47d1-beac-cb0955d66f3b_Name">
    <vt:lpwstr>8ffbc0b8-e97b-47d1-beac-cb0955d66f3b</vt:lpwstr>
  </property>
  <property fmtid="{D5CDD505-2E9C-101B-9397-08002B2CF9AE}" pid="6" name="MSIP_Label_8ffbc0b8-e97b-47d1-beac-cb0955d66f3b_SiteId">
    <vt:lpwstr>614f9c25-bffa-42c7-86d8-964101f55fa2</vt:lpwstr>
  </property>
  <property fmtid="{D5CDD505-2E9C-101B-9397-08002B2CF9AE}" pid="7" name="MSIP_Label_8ffbc0b8-e97b-47d1-beac-cb0955d66f3b_ActionId">
    <vt:lpwstr>ed44937c-fb3e-4020-aa7b-34a0e87db4fb</vt:lpwstr>
  </property>
  <property fmtid="{D5CDD505-2E9C-101B-9397-08002B2CF9AE}" pid="8" name="MSIP_Label_8ffbc0b8-e97b-47d1-beac-cb0955d66f3b_ContentBits">
    <vt:lpwstr>2</vt:lpwstr>
  </property>
  <property fmtid="{D5CDD505-2E9C-101B-9397-08002B2CF9AE}" pid="9" name="MSIP_Label_4e511531-3b62-4ad0-a3e4-a04202c385ac_Enabled">
    <vt:lpwstr>true</vt:lpwstr>
  </property>
  <property fmtid="{D5CDD505-2E9C-101B-9397-08002B2CF9AE}" pid="10" name="MSIP_Label_4e511531-3b62-4ad0-a3e4-a04202c385ac_SetDate">
    <vt:lpwstr>2023-03-10T09:51:16Z</vt:lpwstr>
  </property>
  <property fmtid="{D5CDD505-2E9C-101B-9397-08002B2CF9AE}" pid="11" name="MSIP_Label_4e511531-3b62-4ad0-a3e4-a04202c385ac_Method">
    <vt:lpwstr>Standard</vt:lpwstr>
  </property>
  <property fmtid="{D5CDD505-2E9C-101B-9397-08002B2CF9AE}" pid="12" name="MSIP_Label_4e511531-3b62-4ad0-a3e4-a04202c385ac_Name">
    <vt:lpwstr>4e511531-3b62-4ad0-a3e4-a04202c385ac</vt:lpwstr>
  </property>
  <property fmtid="{D5CDD505-2E9C-101B-9397-08002B2CF9AE}" pid="13" name="MSIP_Label_4e511531-3b62-4ad0-a3e4-a04202c385ac_SiteId">
    <vt:lpwstr>cc7f83dd-bc5a-4682-9b3e-062a900202a2</vt:lpwstr>
  </property>
  <property fmtid="{D5CDD505-2E9C-101B-9397-08002B2CF9AE}" pid="14" name="MSIP_Label_4e511531-3b62-4ad0-a3e4-a04202c385ac_ActionId">
    <vt:lpwstr>ce526ce4-865d-46b9-a3ad-20f5fb347403</vt:lpwstr>
  </property>
  <property fmtid="{D5CDD505-2E9C-101B-9397-08002B2CF9AE}" pid="15" name="MSIP_Label_4e511531-3b62-4ad0-a3e4-a04202c385ac_ContentBits">
    <vt:lpwstr>0</vt:lpwstr>
  </property>
  <property fmtid="{D5CDD505-2E9C-101B-9397-08002B2CF9AE}" pid="16" name="ContentTypeId">
    <vt:lpwstr>0x0101001CD48B57C0618A489237E8693E56F43B</vt:lpwstr>
  </property>
  <property fmtid="{D5CDD505-2E9C-101B-9397-08002B2CF9AE}" pid="17" name="MediaServiceImageTags">
    <vt:lpwstr/>
  </property>
</Properties>
</file>